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45218</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45218</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45218</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45218</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45218</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45218</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45218</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45218</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45218</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45218</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45218</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45218</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45218</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45218</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45218</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45218</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45218</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45218</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45218</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45218</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45218</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45218</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45218</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45218</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45218</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45218</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45218</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45218</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45218</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45218</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45218</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45218</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45218</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45218</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45218</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45218</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45218</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45218</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45218</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45218</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45218</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45218</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45218</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45218</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45218</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45218</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45218</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45218</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45218</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45218</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45218</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45218</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45218</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45218</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45218</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45218</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45218</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45218</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45218</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45218</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45218</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45218</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45218</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45218</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45218</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45218</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30841-2023</t>
        </is>
      </c>
      <c r="B68" s="1" t="n">
        <v>45112</v>
      </c>
      <c r="C68" s="1" t="n">
        <v>45218</v>
      </c>
      <c r="D68" t="inlineStr">
        <is>
          <t>VÄSTERNORRLANDS LÄN</t>
        </is>
      </c>
      <c r="E68" t="inlineStr">
        <is>
          <t>ÅNGE</t>
        </is>
      </c>
      <c r="F68" t="inlineStr">
        <is>
          <t>SCA</t>
        </is>
      </c>
      <c r="G68" t="n">
        <v>8.800000000000001</v>
      </c>
      <c r="H68" t="n">
        <v>3</v>
      </c>
      <c r="I68" t="n">
        <v>3</v>
      </c>
      <c r="J68" t="n">
        <v>8</v>
      </c>
      <c r="K68" t="n">
        <v>1</v>
      </c>
      <c r="L68" t="n">
        <v>0</v>
      </c>
      <c r="M68" t="n">
        <v>0</v>
      </c>
      <c r="N68" t="n">
        <v>0</v>
      </c>
      <c r="O68" t="n">
        <v>9</v>
      </c>
      <c r="P68" t="n">
        <v>1</v>
      </c>
      <c r="Q68" t="n">
        <v>12</v>
      </c>
      <c r="R68" s="2" t="inlineStr">
        <is>
          <t>Knärot
Brunpudrad nållav
Dvärgbägarlav
Gammelgransskål
Mörk kolflarnlav
Spillkråka
Tallticka
Talltita
Ullticka
Dropptaggsvamp
Norrlandslav
Vedticka</t>
        </is>
      </c>
      <c r="S68">
        <f>HYPERLINK("https://klasma.github.io/Logging_2260/artfynd/A 30841-2023 artfynd.xlsx", "A 30841-2023")</f>
        <v/>
      </c>
      <c r="T68">
        <f>HYPERLINK("https://klasma.github.io/Logging_2260/kartor/A 30841-2023 karta.png", "A 30841-2023")</f>
        <v/>
      </c>
      <c r="U68">
        <f>HYPERLINK("https://klasma.github.io/Logging_2260/knärot/A 30841-2023 karta knärot.png", "A 30841-2023")</f>
        <v/>
      </c>
      <c r="V68">
        <f>HYPERLINK("https://klasma.github.io/Logging_2260/klagomål/A 30841-2023 FSC-klagomål.docx", "A 30841-2023")</f>
        <v/>
      </c>
      <c r="W68">
        <f>HYPERLINK("https://klasma.github.io/Logging_2260/klagomålsmail/A 30841-2023 FSC-klagomål mail.docx", "A 30841-2023")</f>
        <v/>
      </c>
      <c r="X68">
        <f>HYPERLINK("https://klasma.github.io/Logging_2260/tillsyn/A 30841-2023 tillsynsbegäran.docx", "A 30841-2023")</f>
        <v/>
      </c>
      <c r="Y68">
        <f>HYPERLINK("https://klasma.github.io/Logging_2260/tillsynsmail/A 30841-2023 tillsynsbegäran mail.docx", "A 30841-2023")</f>
        <v/>
      </c>
    </row>
    <row r="69" ht="15" customHeight="1">
      <c r="A69" t="inlineStr">
        <is>
          <t>A 40784-2019</t>
        </is>
      </c>
      <c r="B69" s="1" t="n">
        <v>43693</v>
      </c>
      <c r="C69" s="1" t="n">
        <v>45218</v>
      </c>
      <c r="D69" t="inlineStr">
        <is>
          <t>VÄSTERNORRLANDS LÄN</t>
        </is>
      </c>
      <c r="E69" t="inlineStr">
        <is>
          <t>SOLLEFTEÅ</t>
        </is>
      </c>
      <c r="G69" t="n">
        <v>10.5</v>
      </c>
      <c r="H69" t="n">
        <v>1</v>
      </c>
      <c r="I69" t="n">
        <v>1</v>
      </c>
      <c r="J69" t="n">
        <v>8</v>
      </c>
      <c r="K69" t="n">
        <v>2</v>
      </c>
      <c r="L69" t="n">
        <v>0</v>
      </c>
      <c r="M69" t="n">
        <v>0</v>
      </c>
      <c r="N69" t="n">
        <v>0</v>
      </c>
      <c r="O69" t="n">
        <v>10</v>
      </c>
      <c r="P69" t="n">
        <v>2</v>
      </c>
      <c r="Q69" t="n">
        <v>11</v>
      </c>
      <c r="R69" s="2" t="inlineStr">
        <is>
          <t>Blackticka
Rynkskinn
Gammelgransskål
Garnlav
Granticka
Kolflarnlav
Lunglav
Talltita
Ullticka
Vedskivlav
Vedticka</t>
        </is>
      </c>
      <c r="S69">
        <f>HYPERLINK("https://klasma.github.io/Logging_2283/artfynd/A 40784-2019 artfynd.xlsx", "A 40784-2019")</f>
        <v/>
      </c>
      <c r="T69">
        <f>HYPERLINK("https://klasma.github.io/Logging_2283/kartor/A 40784-2019 karta.png", "A 40784-2019")</f>
        <v/>
      </c>
      <c r="V69">
        <f>HYPERLINK("https://klasma.github.io/Logging_2283/klagomål/A 40784-2019 FSC-klagomål.docx", "A 40784-2019")</f>
        <v/>
      </c>
      <c r="W69">
        <f>HYPERLINK("https://klasma.github.io/Logging_2283/klagomålsmail/A 40784-2019 FSC-klagomål mail.docx", "A 40784-2019")</f>
        <v/>
      </c>
      <c r="X69">
        <f>HYPERLINK("https://klasma.github.io/Logging_2283/tillsyn/A 40784-2019 tillsynsbegäran.docx", "A 40784-2019")</f>
        <v/>
      </c>
      <c r="Y69">
        <f>HYPERLINK("https://klasma.github.io/Logging_2283/tillsynsmail/A 40784-2019 tillsynsbegäran mail.docx", "A 40784-2019")</f>
        <v/>
      </c>
    </row>
    <row r="70" ht="15" customHeight="1">
      <c r="A70" t="inlineStr">
        <is>
          <t>A 65357-2019</t>
        </is>
      </c>
      <c r="B70" s="1" t="n">
        <v>43803</v>
      </c>
      <c r="C70" s="1" t="n">
        <v>45218</v>
      </c>
      <c r="D70" t="inlineStr">
        <is>
          <t>VÄSTERNORRLANDS LÄN</t>
        </is>
      </c>
      <c r="E70" t="inlineStr">
        <is>
          <t>KRAMFORS</t>
        </is>
      </c>
      <c r="G70" t="n">
        <v>11.7</v>
      </c>
      <c r="H70" t="n">
        <v>1</v>
      </c>
      <c r="I70" t="n">
        <v>4</v>
      </c>
      <c r="J70" t="n">
        <v>5</v>
      </c>
      <c r="K70" t="n">
        <v>1</v>
      </c>
      <c r="L70" t="n">
        <v>0</v>
      </c>
      <c r="M70" t="n">
        <v>0</v>
      </c>
      <c r="N70" t="n">
        <v>0</v>
      </c>
      <c r="O70" t="n">
        <v>6</v>
      </c>
      <c r="P70" t="n">
        <v>1</v>
      </c>
      <c r="Q70" t="n">
        <v>11</v>
      </c>
      <c r="R70" s="2" t="inlineStr">
        <is>
          <t>Aspgelélav
Backtimjan
Gränsticka
Lunglav
Slåtterfibbla
Ullticka
Skinnlav
Stor aspticka
Tibast
Underviol
Blåsippa</t>
        </is>
      </c>
      <c r="S70">
        <f>HYPERLINK("https://klasma.github.io/Logging_2282/artfynd/A 65357-2019 artfynd.xlsx", "A 65357-2019")</f>
        <v/>
      </c>
      <c r="T70">
        <f>HYPERLINK("https://klasma.github.io/Logging_2282/kartor/A 65357-2019 karta.png", "A 65357-2019")</f>
        <v/>
      </c>
      <c r="V70">
        <f>HYPERLINK("https://klasma.github.io/Logging_2282/klagomål/A 65357-2019 FSC-klagomål.docx", "A 65357-2019")</f>
        <v/>
      </c>
      <c r="W70">
        <f>HYPERLINK("https://klasma.github.io/Logging_2282/klagomålsmail/A 65357-2019 FSC-klagomål mail.docx", "A 65357-2019")</f>
        <v/>
      </c>
      <c r="X70">
        <f>HYPERLINK("https://klasma.github.io/Logging_2282/tillsyn/A 65357-2019 tillsynsbegäran.docx", "A 65357-2019")</f>
        <v/>
      </c>
      <c r="Y70">
        <f>HYPERLINK("https://klasma.github.io/Logging_2282/tillsynsmail/A 65357-2019 tillsynsbegäran mail.docx", "A 65357-2019")</f>
        <v/>
      </c>
    </row>
    <row r="71" ht="15" customHeight="1">
      <c r="A71" t="inlineStr">
        <is>
          <t>A 38081-2020</t>
        </is>
      </c>
      <c r="B71" s="1" t="n">
        <v>44057</v>
      </c>
      <c r="C71" s="1" t="n">
        <v>45218</v>
      </c>
      <c r="D71" t="inlineStr">
        <is>
          <t>VÄSTERNORRLANDS LÄN</t>
        </is>
      </c>
      <c r="E71" t="inlineStr">
        <is>
          <t>ÅNGE</t>
        </is>
      </c>
      <c r="F71" t="inlineStr">
        <is>
          <t>SCA</t>
        </is>
      </c>
      <c r="G71" t="n">
        <v>3.5</v>
      </c>
      <c r="H71" t="n">
        <v>1</v>
      </c>
      <c r="I71" t="n">
        <v>6</v>
      </c>
      <c r="J71" t="n">
        <v>3</v>
      </c>
      <c r="K71" t="n">
        <v>2</v>
      </c>
      <c r="L71" t="n">
        <v>0</v>
      </c>
      <c r="M71" t="n">
        <v>0</v>
      </c>
      <c r="N71" t="n">
        <v>0</v>
      </c>
      <c r="O71" t="n">
        <v>5</v>
      </c>
      <c r="P71" t="n">
        <v>2</v>
      </c>
      <c r="Q71" t="n">
        <v>11</v>
      </c>
      <c r="R71" s="2" t="inlineStr">
        <is>
          <t>Fläckporing
Gräddporing
Gränsticka
Lunglav
Stiftgelélav
Bårdlav
Gulnål
Plattlummer
Skinnlav
Stuplav
Vedticka</t>
        </is>
      </c>
      <c r="S71">
        <f>HYPERLINK("https://klasma.github.io/Logging_2260/artfynd/A 38081-2020 artfynd.xlsx", "A 38081-2020")</f>
        <v/>
      </c>
      <c r="T71">
        <f>HYPERLINK("https://klasma.github.io/Logging_2260/kartor/A 38081-2020 karta.png", "A 38081-2020")</f>
        <v/>
      </c>
      <c r="V71">
        <f>HYPERLINK("https://klasma.github.io/Logging_2260/klagomål/A 38081-2020 FSC-klagomål.docx", "A 38081-2020")</f>
        <v/>
      </c>
      <c r="W71">
        <f>HYPERLINK("https://klasma.github.io/Logging_2260/klagomålsmail/A 38081-2020 FSC-klagomål mail.docx", "A 38081-2020")</f>
        <v/>
      </c>
      <c r="X71">
        <f>HYPERLINK("https://klasma.github.io/Logging_2260/tillsyn/A 38081-2020 tillsynsbegäran.docx", "A 38081-2020")</f>
        <v/>
      </c>
      <c r="Y71">
        <f>HYPERLINK("https://klasma.github.io/Logging_2260/tillsynsmail/A 38081-2020 tillsynsbegäran mail.docx", "A 38081-2020")</f>
        <v/>
      </c>
    </row>
    <row r="72" ht="15" customHeight="1">
      <c r="A72" t="inlineStr">
        <is>
          <t>A 46964-2020</t>
        </is>
      </c>
      <c r="B72" s="1" t="n">
        <v>44096</v>
      </c>
      <c r="C72" s="1" t="n">
        <v>45218</v>
      </c>
      <c r="D72" t="inlineStr">
        <is>
          <t>VÄSTERNORRLANDS LÄN</t>
        </is>
      </c>
      <c r="E72" t="inlineStr">
        <is>
          <t>SUNDSVALL</t>
        </is>
      </c>
      <c r="F72" t="inlineStr">
        <is>
          <t>Holmen skog AB</t>
        </is>
      </c>
      <c r="G72" t="n">
        <v>18.1</v>
      </c>
      <c r="H72" t="n">
        <v>4</v>
      </c>
      <c r="I72" t="n">
        <v>2</v>
      </c>
      <c r="J72" t="n">
        <v>8</v>
      </c>
      <c r="K72" t="n">
        <v>0</v>
      </c>
      <c r="L72" t="n">
        <v>0</v>
      </c>
      <c r="M72" t="n">
        <v>0</v>
      </c>
      <c r="N72" t="n">
        <v>0</v>
      </c>
      <c r="O72" t="n">
        <v>8</v>
      </c>
      <c r="P72" t="n">
        <v>0</v>
      </c>
      <c r="Q72" t="n">
        <v>11</v>
      </c>
      <c r="R72" s="2" t="inlineStr">
        <is>
          <t>Brunpudrad nållav
Gammelgransskål
Garnlav
Granticka
Spillkråka
Talltita
Tretåig hackspett
Ullticka
Vedticka
Vågbandad barkbock
Revlummer</t>
        </is>
      </c>
      <c r="S72">
        <f>HYPERLINK("https://klasma.github.io/Logging_2281/artfynd/A 46964-2020 artfynd.xlsx", "A 46964-2020")</f>
        <v/>
      </c>
      <c r="T72">
        <f>HYPERLINK("https://klasma.github.io/Logging_2281/kartor/A 46964-2020 karta.png", "A 46964-2020")</f>
        <v/>
      </c>
      <c r="V72">
        <f>HYPERLINK("https://klasma.github.io/Logging_2281/klagomål/A 46964-2020 FSC-klagomål.docx", "A 46964-2020")</f>
        <v/>
      </c>
      <c r="W72">
        <f>HYPERLINK("https://klasma.github.io/Logging_2281/klagomålsmail/A 46964-2020 FSC-klagomål mail.docx", "A 46964-2020")</f>
        <v/>
      </c>
      <c r="X72">
        <f>HYPERLINK("https://klasma.github.io/Logging_2281/tillsyn/A 46964-2020 tillsynsbegäran.docx", "A 46964-2020")</f>
        <v/>
      </c>
      <c r="Y72">
        <f>HYPERLINK("https://klasma.github.io/Logging_2281/tillsynsmail/A 46964-2020 tillsynsbegäran mail.docx", "A 46964-2020")</f>
        <v/>
      </c>
    </row>
    <row r="73" ht="15" customHeight="1">
      <c r="A73" t="inlineStr">
        <is>
          <t>A 62868-2020</t>
        </is>
      </c>
      <c r="B73" s="1" t="n">
        <v>44161</v>
      </c>
      <c r="C73" s="1" t="n">
        <v>45218</v>
      </c>
      <c r="D73" t="inlineStr">
        <is>
          <t>VÄSTERNORRLANDS LÄN</t>
        </is>
      </c>
      <c r="E73" t="inlineStr">
        <is>
          <t>ÅNGE</t>
        </is>
      </c>
      <c r="F73" t="inlineStr">
        <is>
          <t>SCA</t>
        </is>
      </c>
      <c r="G73" t="n">
        <v>13.9</v>
      </c>
      <c r="H73" t="n">
        <v>2</v>
      </c>
      <c r="I73" t="n">
        <v>5</v>
      </c>
      <c r="J73" t="n">
        <v>6</v>
      </c>
      <c r="K73" t="n">
        <v>0</v>
      </c>
      <c r="L73" t="n">
        <v>0</v>
      </c>
      <c r="M73" t="n">
        <v>0</v>
      </c>
      <c r="N73" t="n">
        <v>0</v>
      </c>
      <c r="O73" t="n">
        <v>6</v>
      </c>
      <c r="P73" t="n">
        <v>0</v>
      </c>
      <c r="Q73" t="n">
        <v>11</v>
      </c>
      <c r="R73" s="2" t="inlineStr">
        <is>
          <t>Garnlav
Kolflarnlav
Lunglav
Skrovellav
Stiftgelélav
Tallticka
Plattlummer
Skinnlav
Spindelblomster
Stor aspticka
Stuplav</t>
        </is>
      </c>
      <c r="S73">
        <f>HYPERLINK("https://klasma.github.io/Logging_2260/artfynd/A 62868-2020 artfynd.xlsx", "A 62868-2020")</f>
        <v/>
      </c>
      <c r="T73">
        <f>HYPERLINK("https://klasma.github.io/Logging_2260/kartor/A 62868-2020 karta.png", "A 62868-2020")</f>
        <v/>
      </c>
      <c r="V73">
        <f>HYPERLINK("https://klasma.github.io/Logging_2260/klagomål/A 62868-2020 FSC-klagomål.docx", "A 62868-2020")</f>
        <v/>
      </c>
      <c r="W73">
        <f>HYPERLINK("https://klasma.github.io/Logging_2260/klagomålsmail/A 62868-2020 FSC-klagomål mail.docx", "A 62868-2020")</f>
        <v/>
      </c>
      <c r="X73">
        <f>HYPERLINK("https://klasma.github.io/Logging_2260/tillsyn/A 62868-2020 tillsynsbegäran.docx", "A 62868-2020")</f>
        <v/>
      </c>
      <c r="Y73">
        <f>HYPERLINK("https://klasma.github.io/Logging_2260/tillsynsmail/A 62868-2020 tillsynsbegäran mail.docx", "A 62868-2020")</f>
        <v/>
      </c>
    </row>
    <row r="74" ht="15" customHeight="1">
      <c r="A74" t="inlineStr">
        <is>
          <t>A 42309-2021</t>
        </is>
      </c>
      <c r="B74" s="1" t="n">
        <v>44427</v>
      </c>
      <c r="C74" s="1" t="n">
        <v>45218</v>
      </c>
      <c r="D74" t="inlineStr">
        <is>
          <t>VÄSTERNORRLANDS LÄN</t>
        </is>
      </c>
      <c r="E74" t="inlineStr">
        <is>
          <t>ÅNGE</t>
        </is>
      </c>
      <c r="F74" t="inlineStr">
        <is>
          <t>Sveaskog</t>
        </is>
      </c>
      <c r="G74" t="n">
        <v>2.5</v>
      </c>
      <c r="H74" t="n">
        <v>1</v>
      </c>
      <c r="I74" t="n">
        <v>2</v>
      </c>
      <c r="J74" t="n">
        <v>8</v>
      </c>
      <c r="K74" t="n">
        <v>0</v>
      </c>
      <c r="L74" t="n">
        <v>1</v>
      </c>
      <c r="M74" t="n">
        <v>0</v>
      </c>
      <c r="N74" t="n">
        <v>0</v>
      </c>
      <c r="O74" t="n">
        <v>9</v>
      </c>
      <c r="P74" t="n">
        <v>1</v>
      </c>
      <c r="Q74" t="n">
        <v>11</v>
      </c>
      <c r="R74" s="2" t="inlineStr">
        <is>
          <t>Urskogsticka
Doftskinn
Gammelgransskål
Garnlav
Lunglav
Nordtagging
Tretåig hackspett
Ullticka
Vedtrappmossa
Kattfotslav
Skinnlav</t>
        </is>
      </c>
      <c r="S74">
        <f>HYPERLINK("https://klasma.github.io/Logging_2260/artfynd/A 42309-2021 artfynd.xlsx", "A 42309-2021")</f>
        <v/>
      </c>
      <c r="T74">
        <f>HYPERLINK("https://klasma.github.io/Logging_2260/kartor/A 42309-2021 karta.png", "A 42309-2021")</f>
        <v/>
      </c>
      <c r="V74">
        <f>HYPERLINK("https://klasma.github.io/Logging_2260/klagomål/A 42309-2021 FSC-klagomål.docx", "A 42309-2021")</f>
        <v/>
      </c>
      <c r="W74">
        <f>HYPERLINK("https://klasma.github.io/Logging_2260/klagomålsmail/A 42309-2021 FSC-klagomål mail.docx", "A 42309-2021")</f>
        <v/>
      </c>
      <c r="X74">
        <f>HYPERLINK("https://klasma.github.io/Logging_2260/tillsyn/A 42309-2021 tillsynsbegäran.docx", "A 42309-2021")</f>
        <v/>
      </c>
      <c r="Y74">
        <f>HYPERLINK("https://klasma.github.io/Logging_2260/tillsynsmail/A 42309-2021 tillsynsbegäran mail.docx", "A 42309-2021")</f>
        <v/>
      </c>
    </row>
    <row r="75" ht="15" customHeight="1">
      <c r="A75" t="inlineStr">
        <is>
          <t>A 54569-2021</t>
        </is>
      </c>
      <c r="B75" s="1" t="n">
        <v>44473</v>
      </c>
      <c r="C75" s="1" t="n">
        <v>45218</v>
      </c>
      <c r="D75" t="inlineStr">
        <is>
          <t>VÄSTERNORRLANDS LÄN</t>
        </is>
      </c>
      <c r="E75" t="inlineStr">
        <is>
          <t>ÖRNSKÖLDSVIK</t>
        </is>
      </c>
      <c r="F75" t="inlineStr">
        <is>
          <t>Holmen skog AB</t>
        </is>
      </c>
      <c r="G75" t="n">
        <v>2.7</v>
      </c>
      <c r="H75" t="n">
        <v>2</v>
      </c>
      <c r="I75" t="n">
        <v>3</v>
      </c>
      <c r="J75" t="n">
        <v>8</v>
      </c>
      <c r="K75" t="n">
        <v>0</v>
      </c>
      <c r="L75" t="n">
        <v>0</v>
      </c>
      <c r="M75" t="n">
        <v>0</v>
      </c>
      <c r="N75" t="n">
        <v>0</v>
      </c>
      <c r="O75" t="n">
        <v>8</v>
      </c>
      <c r="P75" t="n">
        <v>0</v>
      </c>
      <c r="Q75" t="n">
        <v>11</v>
      </c>
      <c r="R75" s="2" t="inlineStr">
        <is>
          <t>Gammelgransskål
Garnlav
Granticka
Järpe
Kolflarnlav
Småflikig brosklav
Spillkråka
Vitgrynig nållav
Rävticka
Trådticka
Vedticka</t>
        </is>
      </c>
      <c r="S75">
        <f>HYPERLINK("https://klasma.github.io/Logging_2284/artfynd/A 54569-2021 artfynd.xlsx", "A 54569-2021")</f>
        <v/>
      </c>
      <c r="T75">
        <f>HYPERLINK("https://klasma.github.io/Logging_2284/kartor/A 54569-2021 karta.png", "A 54569-2021")</f>
        <v/>
      </c>
      <c r="V75">
        <f>HYPERLINK("https://klasma.github.io/Logging_2284/klagomål/A 54569-2021 FSC-klagomål.docx", "A 54569-2021")</f>
        <v/>
      </c>
      <c r="W75">
        <f>HYPERLINK("https://klasma.github.io/Logging_2284/klagomålsmail/A 54569-2021 FSC-klagomål mail.docx", "A 54569-2021")</f>
        <v/>
      </c>
      <c r="X75">
        <f>HYPERLINK("https://klasma.github.io/Logging_2284/tillsyn/A 54569-2021 tillsynsbegäran.docx", "A 54569-2021")</f>
        <v/>
      </c>
      <c r="Y75">
        <f>HYPERLINK("https://klasma.github.io/Logging_2284/tillsynsmail/A 54569-2021 tillsynsbegäran mail.docx", "A 54569-2021")</f>
        <v/>
      </c>
    </row>
    <row r="76" ht="15" customHeight="1">
      <c r="A76" t="inlineStr">
        <is>
          <t>A 67697-2021</t>
        </is>
      </c>
      <c r="B76" s="1" t="n">
        <v>44524</v>
      </c>
      <c r="C76" s="1" t="n">
        <v>45218</v>
      </c>
      <c r="D76" t="inlineStr">
        <is>
          <t>VÄSTERNORRLANDS LÄN</t>
        </is>
      </c>
      <c r="E76" t="inlineStr">
        <is>
          <t>ÅNGE</t>
        </is>
      </c>
      <c r="F76" t="inlineStr">
        <is>
          <t>SCA</t>
        </is>
      </c>
      <c r="G76" t="n">
        <v>22.1</v>
      </c>
      <c r="H76" t="n">
        <v>0</v>
      </c>
      <c r="I76" t="n">
        <v>0</v>
      </c>
      <c r="J76" t="n">
        <v>10</v>
      </c>
      <c r="K76" t="n">
        <v>1</v>
      </c>
      <c r="L76" t="n">
        <v>0</v>
      </c>
      <c r="M76" t="n">
        <v>0</v>
      </c>
      <c r="N76" t="n">
        <v>0</v>
      </c>
      <c r="O76" t="n">
        <v>11</v>
      </c>
      <c r="P76" t="n">
        <v>1</v>
      </c>
      <c r="Q76" t="n">
        <v>11</v>
      </c>
      <c r="R76" s="2" t="inlineStr">
        <is>
          <t>Ulltickeporing
Dvärgbägarlav
Granticka
Kolflarnlav
Kortskaftad ärgspik
Mörk kolflarnlav
Reliktbock
Rosenticka
Ullticka
Vedskivlav
Vedtrappmossa</t>
        </is>
      </c>
      <c r="S76">
        <f>HYPERLINK("https://klasma.github.io/Logging_2260/artfynd/A 67697-2021 artfynd.xlsx", "A 67697-2021")</f>
        <v/>
      </c>
      <c r="T76">
        <f>HYPERLINK("https://klasma.github.io/Logging_2260/kartor/A 67697-2021 karta.png", "A 67697-2021")</f>
        <v/>
      </c>
      <c r="V76">
        <f>HYPERLINK("https://klasma.github.io/Logging_2260/klagomål/A 67697-2021 FSC-klagomål.docx", "A 67697-2021")</f>
        <v/>
      </c>
      <c r="W76">
        <f>HYPERLINK("https://klasma.github.io/Logging_2260/klagomålsmail/A 67697-2021 FSC-klagomål mail.docx", "A 67697-2021")</f>
        <v/>
      </c>
      <c r="X76">
        <f>HYPERLINK("https://klasma.github.io/Logging_2260/tillsyn/A 67697-2021 tillsynsbegäran.docx", "A 67697-2021")</f>
        <v/>
      </c>
      <c r="Y76">
        <f>HYPERLINK("https://klasma.github.io/Logging_2260/tillsynsmail/A 67697-2021 tillsynsbegäran mail.docx", "A 67697-2021")</f>
        <v/>
      </c>
    </row>
    <row r="77" ht="15" customHeight="1">
      <c r="A77" t="inlineStr">
        <is>
          <t>A 11894-2022</t>
        </is>
      </c>
      <c r="B77" s="1" t="n">
        <v>44635</v>
      </c>
      <c r="C77" s="1" t="n">
        <v>45218</v>
      </c>
      <c r="D77" t="inlineStr">
        <is>
          <t>VÄSTERNORRLANDS LÄN</t>
        </is>
      </c>
      <c r="E77" t="inlineStr">
        <is>
          <t>ÅNGE</t>
        </is>
      </c>
      <c r="G77" t="n">
        <v>10.6</v>
      </c>
      <c r="H77" t="n">
        <v>4</v>
      </c>
      <c r="I77" t="n">
        <v>2</v>
      </c>
      <c r="J77" t="n">
        <v>7</v>
      </c>
      <c r="K77" t="n">
        <v>1</v>
      </c>
      <c r="L77" t="n">
        <v>0</v>
      </c>
      <c r="M77" t="n">
        <v>0</v>
      </c>
      <c r="N77" t="n">
        <v>0</v>
      </c>
      <c r="O77" t="n">
        <v>8</v>
      </c>
      <c r="P77" t="n">
        <v>1</v>
      </c>
      <c r="Q77" t="n">
        <v>11</v>
      </c>
      <c r="R77" s="2" t="inlineStr">
        <is>
          <t>Rynkskinn
Gammelgransskål
Garnlav
Granticka
Spillkråka
Tretåig hackspett
Ullticka
Vitgrynig nållav
Plattlummer
Vedticka
Fläcknycklar</t>
        </is>
      </c>
      <c r="S77">
        <f>HYPERLINK("https://klasma.github.io/Logging_2260/artfynd/A 11894-2022 artfynd.xlsx", "A 11894-2022")</f>
        <v/>
      </c>
      <c r="T77">
        <f>HYPERLINK("https://klasma.github.io/Logging_2260/kartor/A 11894-2022 karta.png", "A 11894-2022")</f>
        <v/>
      </c>
      <c r="V77">
        <f>HYPERLINK("https://klasma.github.io/Logging_2260/klagomål/A 11894-2022 FSC-klagomål.docx", "A 11894-2022")</f>
        <v/>
      </c>
      <c r="W77">
        <f>HYPERLINK("https://klasma.github.io/Logging_2260/klagomålsmail/A 11894-2022 FSC-klagomål mail.docx", "A 11894-2022")</f>
        <v/>
      </c>
      <c r="X77">
        <f>HYPERLINK("https://klasma.github.io/Logging_2260/tillsyn/A 11894-2022 tillsynsbegäran.docx", "A 11894-2022")</f>
        <v/>
      </c>
      <c r="Y77">
        <f>HYPERLINK("https://klasma.github.io/Logging_2260/tillsynsmail/A 11894-2022 tillsynsbegäran mail.docx", "A 11894-2022")</f>
        <v/>
      </c>
    </row>
    <row r="78" ht="15" customHeight="1">
      <c r="A78" t="inlineStr">
        <is>
          <t>A 14887-2022</t>
        </is>
      </c>
      <c r="B78" s="1" t="n">
        <v>44656</v>
      </c>
      <c r="C78" s="1" t="n">
        <v>45218</v>
      </c>
      <c r="D78" t="inlineStr">
        <is>
          <t>VÄSTERNORRLANDS LÄN</t>
        </is>
      </c>
      <c r="E78" t="inlineStr">
        <is>
          <t>ÅNGE</t>
        </is>
      </c>
      <c r="G78" t="n">
        <v>6.8</v>
      </c>
      <c r="H78" t="n">
        <v>1</v>
      </c>
      <c r="I78" t="n">
        <v>2</v>
      </c>
      <c r="J78" t="n">
        <v>7</v>
      </c>
      <c r="K78" t="n">
        <v>2</v>
      </c>
      <c r="L78" t="n">
        <v>0</v>
      </c>
      <c r="M78" t="n">
        <v>0</v>
      </c>
      <c r="N78" t="n">
        <v>0</v>
      </c>
      <c r="O78" t="n">
        <v>9</v>
      </c>
      <c r="P78" t="n">
        <v>2</v>
      </c>
      <c r="Q78" t="n">
        <v>11</v>
      </c>
      <c r="R78" s="2" t="inlineStr">
        <is>
          <t>Bitter taggsvamp
Knärot
Garnlav
Gultoppig fingersvamp
Lunglav
Rosenticka
Svartvit taggsvamp
Ullticka
Äggvaxskivling
Dropptaggsvamp
Skarp dropptaggsvamp</t>
        </is>
      </c>
      <c r="S78">
        <f>HYPERLINK("https://klasma.github.io/Logging_2260/artfynd/A 14887-2022 artfynd.xlsx", "A 14887-2022")</f>
        <v/>
      </c>
      <c r="T78">
        <f>HYPERLINK("https://klasma.github.io/Logging_2260/kartor/A 14887-2022 karta.png", "A 14887-2022")</f>
        <v/>
      </c>
      <c r="U78">
        <f>HYPERLINK("https://klasma.github.io/Logging_2260/knärot/A 14887-2022 karta knärot.png", "A 14887-2022")</f>
        <v/>
      </c>
      <c r="V78">
        <f>HYPERLINK("https://klasma.github.io/Logging_2260/klagomål/A 14887-2022 FSC-klagomål.docx", "A 14887-2022")</f>
        <v/>
      </c>
      <c r="W78">
        <f>HYPERLINK("https://klasma.github.io/Logging_2260/klagomålsmail/A 14887-2022 FSC-klagomål mail.docx", "A 14887-2022")</f>
        <v/>
      </c>
      <c r="X78">
        <f>HYPERLINK("https://klasma.github.io/Logging_2260/tillsyn/A 14887-2022 tillsynsbegäran.docx", "A 14887-2022")</f>
        <v/>
      </c>
      <c r="Y78">
        <f>HYPERLINK("https://klasma.github.io/Logging_2260/tillsynsmail/A 14887-2022 tillsynsbegäran mail.docx", "A 14887-2022")</f>
        <v/>
      </c>
    </row>
    <row r="79" ht="15" customHeight="1">
      <c r="A79" t="inlineStr">
        <is>
          <t>A 18563-2022</t>
        </is>
      </c>
      <c r="B79" s="1" t="n">
        <v>44686</v>
      </c>
      <c r="C79" s="1" t="n">
        <v>45218</v>
      </c>
      <c r="D79" t="inlineStr">
        <is>
          <t>VÄSTERNORRLANDS LÄN</t>
        </is>
      </c>
      <c r="E79" t="inlineStr">
        <is>
          <t>HÄRNÖSAND</t>
        </is>
      </c>
      <c r="F79" t="inlineStr">
        <is>
          <t>SCA</t>
        </is>
      </c>
      <c r="G79" t="n">
        <v>17.5</v>
      </c>
      <c r="H79" t="n">
        <v>1</v>
      </c>
      <c r="I79" t="n">
        <v>5</v>
      </c>
      <c r="J79" t="n">
        <v>5</v>
      </c>
      <c r="K79" t="n">
        <v>1</v>
      </c>
      <c r="L79" t="n">
        <v>0</v>
      </c>
      <c r="M79" t="n">
        <v>0</v>
      </c>
      <c r="N79" t="n">
        <v>0</v>
      </c>
      <c r="O79" t="n">
        <v>6</v>
      </c>
      <c r="P79" t="n">
        <v>1</v>
      </c>
      <c r="Q79" t="n">
        <v>11</v>
      </c>
      <c r="R79" s="2" t="inlineStr">
        <is>
          <t>Rynkskinn
Garnlav
Granticka
Rosenticka
Sötgräs
Ullticka
Dvärghäxört
Strutbräken
Tibast
Trådticka
Vedticka</t>
        </is>
      </c>
      <c r="S79">
        <f>HYPERLINK("https://klasma.github.io/Logging_2280/artfynd/A 18563-2022 artfynd.xlsx", "A 18563-2022")</f>
        <v/>
      </c>
      <c r="T79">
        <f>HYPERLINK("https://klasma.github.io/Logging_2280/kartor/A 18563-2022 karta.png", "A 18563-2022")</f>
        <v/>
      </c>
      <c r="V79">
        <f>HYPERLINK("https://klasma.github.io/Logging_2280/klagomål/A 18563-2022 FSC-klagomål.docx", "A 18563-2022")</f>
        <v/>
      </c>
      <c r="W79">
        <f>HYPERLINK("https://klasma.github.io/Logging_2280/klagomålsmail/A 18563-2022 FSC-klagomål mail.docx", "A 18563-2022")</f>
        <v/>
      </c>
      <c r="X79">
        <f>HYPERLINK("https://klasma.github.io/Logging_2280/tillsyn/A 18563-2022 tillsynsbegäran.docx", "A 18563-2022")</f>
        <v/>
      </c>
      <c r="Y79">
        <f>HYPERLINK("https://klasma.github.io/Logging_2280/tillsynsmail/A 18563-2022 tillsynsbegäran mail.docx", "A 18563-2022")</f>
        <v/>
      </c>
    </row>
    <row r="80" ht="15" customHeight="1">
      <c r="A80" t="inlineStr">
        <is>
          <t>A 49519-2022</t>
        </is>
      </c>
      <c r="B80" s="1" t="n">
        <v>44861</v>
      </c>
      <c r="C80" s="1" t="n">
        <v>45218</v>
      </c>
      <c r="D80" t="inlineStr">
        <is>
          <t>VÄSTERNORRLANDS LÄN</t>
        </is>
      </c>
      <c r="E80" t="inlineStr">
        <is>
          <t>ÅNGE</t>
        </is>
      </c>
      <c r="F80" t="inlineStr">
        <is>
          <t>SCA</t>
        </is>
      </c>
      <c r="G80" t="n">
        <v>11.5</v>
      </c>
      <c r="H80" t="n">
        <v>2</v>
      </c>
      <c r="I80" t="n">
        <v>4</v>
      </c>
      <c r="J80" t="n">
        <v>5</v>
      </c>
      <c r="K80" t="n">
        <v>2</v>
      </c>
      <c r="L80" t="n">
        <v>0</v>
      </c>
      <c r="M80" t="n">
        <v>0</v>
      </c>
      <c r="N80" t="n">
        <v>0</v>
      </c>
      <c r="O80" t="n">
        <v>7</v>
      </c>
      <c r="P80" t="n">
        <v>2</v>
      </c>
      <c r="Q80" t="n">
        <v>11</v>
      </c>
      <c r="R80" s="2" t="inlineStr">
        <is>
          <t>Knärot
Rynkskinn
Dvärgbägarlav
Garnlav
Lunglav
Mörk kolflarnlav
Tretåig hackspett
Bårdlav
Dropptaggsvamp
Grönpyrola
Stuplav</t>
        </is>
      </c>
      <c r="S80">
        <f>HYPERLINK("https://klasma.github.io/Logging_2260/artfynd/A 49519-2022 artfynd.xlsx", "A 49519-2022")</f>
        <v/>
      </c>
      <c r="T80">
        <f>HYPERLINK("https://klasma.github.io/Logging_2260/kartor/A 49519-2022 karta.png", "A 49519-2022")</f>
        <v/>
      </c>
      <c r="U80">
        <f>HYPERLINK("https://klasma.github.io/Logging_2260/knärot/A 49519-2022 karta knärot.png", "A 49519-2022")</f>
        <v/>
      </c>
      <c r="V80">
        <f>HYPERLINK("https://klasma.github.io/Logging_2260/klagomål/A 49519-2022 FSC-klagomål.docx", "A 49519-2022")</f>
        <v/>
      </c>
      <c r="W80">
        <f>HYPERLINK("https://klasma.github.io/Logging_2260/klagomålsmail/A 49519-2022 FSC-klagomål mail.docx", "A 49519-2022")</f>
        <v/>
      </c>
      <c r="X80">
        <f>HYPERLINK("https://klasma.github.io/Logging_2260/tillsyn/A 49519-2022 tillsynsbegäran.docx", "A 49519-2022")</f>
        <v/>
      </c>
      <c r="Y80">
        <f>HYPERLINK("https://klasma.github.io/Logging_2260/tillsynsmail/A 49519-2022 tillsynsbegäran mail.docx", "A 49519-2022")</f>
        <v/>
      </c>
    </row>
    <row r="81" ht="15" customHeight="1">
      <c r="A81" t="inlineStr">
        <is>
          <t>A 16388-2023</t>
        </is>
      </c>
      <c r="B81" s="1" t="n">
        <v>45022</v>
      </c>
      <c r="C81" s="1" t="n">
        <v>45218</v>
      </c>
      <c r="D81" t="inlineStr">
        <is>
          <t>VÄSTERNORRLANDS LÄN</t>
        </is>
      </c>
      <c r="E81" t="inlineStr">
        <is>
          <t>SUNDSVALL</t>
        </is>
      </c>
      <c r="G81" t="n">
        <v>10.1</v>
      </c>
      <c r="H81" t="n">
        <v>1</v>
      </c>
      <c r="I81" t="n">
        <v>2</v>
      </c>
      <c r="J81" t="n">
        <v>7</v>
      </c>
      <c r="K81" t="n">
        <v>2</v>
      </c>
      <c r="L81" t="n">
        <v>0</v>
      </c>
      <c r="M81" t="n">
        <v>0</v>
      </c>
      <c r="N81" t="n">
        <v>0</v>
      </c>
      <c r="O81" t="n">
        <v>9</v>
      </c>
      <c r="P81" t="n">
        <v>2</v>
      </c>
      <c r="Q81" t="n">
        <v>11</v>
      </c>
      <c r="R81" s="2" t="inlineStr">
        <is>
          <t>Aspgelélav
Knärot
Garnlav
Leptoporus mollis
Lunglav
Orange taggsvamp
Rosenticka
Ullticka
Vedskivlav
Björksplintborre
Stor aspticka</t>
        </is>
      </c>
      <c r="S81">
        <f>HYPERLINK("https://klasma.github.io/Logging_2281/artfynd/A 16388-2023 artfynd.xlsx", "A 16388-2023")</f>
        <v/>
      </c>
      <c r="T81">
        <f>HYPERLINK("https://klasma.github.io/Logging_2281/kartor/A 16388-2023 karta.png", "A 16388-2023")</f>
        <v/>
      </c>
      <c r="U81">
        <f>HYPERLINK("https://klasma.github.io/Logging_2281/knärot/A 16388-2023 karta knärot.png", "A 16388-2023")</f>
        <v/>
      </c>
      <c r="V81">
        <f>HYPERLINK("https://klasma.github.io/Logging_2281/klagomål/A 16388-2023 FSC-klagomål.docx", "A 16388-2023")</f>
        <v/>
      </c>
      <c r="W81">
        <f>HYPERLINK("https://klasma.github.io/Logging_2281/klagomålsmail/A 16388-2023 FSC-klagomål mail.docx", "A 16388-2023")</f>
        <v/>
      </c>
      <c r="X81">
        <f>HYPERLINK("https://klasma.github.io/Logging_2281/tillsyn/A 16388-2023 tillsynsbegäran.docx", "A 16388-2023")</f>
        <v/>
      </c>
      <c r="Y81">
        <f>HYPERLINK("https://klasma.github.io/Logging_2281/tillsynsmail/A 16388-2023 tillsynsbegäran mail.docx", "A 16388-2023")</f>
        <v/>
      </c>
    </row>
    <row r="82" ht="15" customHeight="1">
      <c r="A82" t="inlineStr">
        <is>
          <t>A 40520-2019</t>
        </is>
      </c>
      <c r="B82" s="1" t="n">
        <v>43696</v>
      </c>
      <c r="C82" s="1" t="n">
        <v>45218</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45218</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45218</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45218</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45218</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45218</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45218</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45218</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45218</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45218</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45218</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45218</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45218</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45218</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45218</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45218</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45218</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45218</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45218</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45218</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45218</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45218</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45218</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45218</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45218</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45218</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45218</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45218</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45218</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45218</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45218</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45218</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45218</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45218</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45218</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45218</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45218</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45218</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45218</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45218</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45218</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45218</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45218</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45218</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45218</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45218</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45218</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45218</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45218</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45218</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45218</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45218</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45218</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45218</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45218</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45218</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45218</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45218</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45218</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45218</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45218</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45218</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45218</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45218</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45218</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45218</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45218</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45218</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45218</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45218</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45218</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45218</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45218</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45218</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45218</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45218</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45218</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45218</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45218</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45218</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45218</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45218</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45218</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45218</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45218</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45218</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45218</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45218</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45218</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45218</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45218</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45218</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45218</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45218</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45218</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45218</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45218</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45218</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45218</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45218</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45218</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45218</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45218</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45218</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45218</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45218</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45218</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45218</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45218</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45218</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45218</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45218</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45218</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45218</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45218</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45218</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45218</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45218</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45218</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45218</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45218</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45218</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45218</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45218</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45218</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45218</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45218</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45218</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45218</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45218</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45218</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45218</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45218</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45218</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45218</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45218</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45218</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45218</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45218</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45218</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45218</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45218</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45218</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45218</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45218</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45218</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45218</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45218</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45218</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45218</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45218</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45218</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45218</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45218</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45218</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45218</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45218</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45218</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45218</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45218</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45218</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45218</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45218</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45218</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45218</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45218</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45218</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45218</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45218</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45218</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45218</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45218</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45218</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45218</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45218</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45218</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45218</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45218</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45218</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45218</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45218</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45218</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45218</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45218</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45218</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45218</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45218</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45218</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45218</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45218</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45218</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45218</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45218</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45218</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45218</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45218</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45218</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45218</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45218</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45218</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45218</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45218</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45218</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45218</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45218</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8894-2020</t>
        </is>
      </c>
      <c r="B287" s="1" t="n">
        <v>43878</v>
      </c>
      <c r="C287" s="1" t="n">
        <v>45218</v>
      </c>
      <c r="D287" t="inlineStr">
        <is>
          <t>VÄSTERNORRLANDS LÄN</t>
        </is>
      </c>
      <c r="E287" t="inlineStr">
        <is>
          <t>SUNDSVALL</t>
        </is>
      </c>
      <c r="G287" t="n">
        <v>7.2</v>
      </c>
      <c r="H287" t="n">
        <v>3</v>
      </c>
      <c r="I287" t="n">
        <v>0</v>
      </c>
      <c r="J287" t="n">
        <v>3</v>
      </c>
      <c r="K287" t="n">
        <v>0</v>
      </c>
      <c r="L287" t="n">
        <v>0</v>
      </c>
      <c r="M287" t="n">
        <v>0</v>
      </c>
      <c r="N287" t="n">
        <v>0</v>
      </c>
      <c r="O287" t="n">
        <v>3</v>
      </c>
      <c r="P287" t="n">
        <v>0</v>
      </c>
      <c r="Q287" t="n">
        <v>3</v>
      </c>
      <c r="R287" s="2" t="inlineStr">
        <is>
          <t>Björktrast
Rödvingetrast
Utter</t>
        </is>
      </c>
      <c r="S287">
        <f>HYPERLINK("https://klasma.github.io/Logging_2281/artfynd/A 8894-2020 artfynd.xlsx", "A 8894-2020")</f>
        <v/>
      </c>
      <c r="T287">
        <f>HYPERLINK("https://klasma.github.io/Logging_2281/kartor/A 8894-2020 karta.png", "A 8894-2020")</f>
        <v/>
      </c>
      <c r="V287">
        <f>HYPERLINK("https://klasma.github.io/Logging_2281/klagomål/A 8894-2020 FSC-klagomål.docx", "A 8894-2020")</f>
        <v/>
      </c>
      <c r="W287">
        <f>HYPERLINK("https://klasma.github.io/Logging_2281/klagomålsmail/A 8894-2020 FSC-klagomål mail.docx", "A 8894-2020")</f>
        <v/>
      </c>
      <c r="X287">
        <f>HYPERLINK("https://klasma.github.io/Logging_2281/tillsyn/A 8894-2020 tillsynsbegäran.docx", "A 8894-2020")</f>
        <v/>
      </c>
      <c r="Y287">
        <f>HYPERLINK("https://klasma.github.io/Logging_2281/tillsynsmail/A 8894-2020 tillsynsbegäran mail.docx", "A 8894-2020")</f>
        <v/>
      </c>
    </row>
    <row r="288" ht="15" customHeight="1">
      <c r="A288" t="inlineStr">
        <is>
          <t>A 12608-2020</t>
        </is>
      </c>
      <c r="B288" s="1" t="n">
        <v>43899</v>
      </c>
      <c r="C288" s="1" t="n">
        <v>45218</v>
      </c>
      <c r="D288" t="inlineStr">
        <is>
          <t>VÄSTERNORRLANDS LÄN</t>
        </is>
      </c>
      <c r="E288" t="inlineStr">
        <is>
          <t>ÅNGE</t>
        </is>
      </c>
      <c r="G288" t="n">
        <v>51.8</v>
      </c>
      <c r="H288" t="n">
        <v>1</v>
      </c>
      <c r="I288" t="n">
        <v>2</v>
      </c>
      <c r="J288" t="n">
        <v>1</v>
      </c>
      <c r="K288" t="n">
        <v>0</v>
      </c>
      <c r="L288" t="n">
        <v>0</v>
      </c>
      <c r="M288" t="n">
        <v>0</v>
      </c>
      <c r="N288" t="n">
        <v>0</v>
      </c>
      <c r="O288" t="n">
        <v>1</v>
      </c>
      <c r="P288" t="n">
        <v>0</v>
      </c>
      <c r="Q288" t="n">
        <v>3</v>
      </c>
      <c r="R288" s="2" t="inlineStr">
        <is>
          <t>Dvärgbägarlav
Dropptaggsvamp
Spindelblomster</t>
        </is>
      </c>
      <c r="S288">
        <f>HYPERLINK("https://klasma.github.io/Logging_2260/artfynd/A 12608-2020 artfynd.xlsx", "A 12608-2020")</f>
        <v/>
      </c>
      <c r="T288">
        <f>HYPERLINK("https://klasma.github.io/Logging_2260/kartor/A 12608-2020 karta.png", "A 12608-2020")</f>
        <v/>
      </c>
      <c r="V288">
        <f>HYPERLINK("https://klasma.github.io/Logging_2260/klagomål/A 12608-2020 FSC-klagomål.docx", "A 12608-2020")</f>
        <v/>
      </c>
      <c r="W288">
        <f>HYPERLINK("https://klasma.github.io/Logging_2260/klagomålsmail/A 12608-2020 FSC-klagomål mail.docx", "A 12608-2020")</f>
        <v/>
      </c>
      <c r="X288">
        <f>HYPERLINK("https://klasma.github.io/Logging_2260/tillsyn/A 12608-2020 tillsynsbegäran.docx", "A 12608-2020")</f>
        <v/>
      </c>
      <c r="Y288">
        <f>HYPERLINK("https://klasma.github.io/Logging_2260/tillsynsmail/A 12608-2020 tillsynsbegäran mail.docx", "A 12608-2020")</f>
        <v/>
      </c>
    </row>
    <row r="289" ht="15" customHeight="1">
      <c r="A289" t="inlineStr">
        <is>
          <t>A 17141-2020</t>
        </is>
      </c>
      <c r="B289" s="1" t="n">
        <v>43922</v>
      </c>
      <c r="C289" s="1" t="n">
        <v>45218</v>
      </c>
      <c r="D289" t="inlineStr">
        <is>
          <t>VÄSTERNORRLANDS LÄN</t>
        </is>
      </c>
      <c r="E289" t="inlineStr">
        <is>
          <t>KRAMFORS</t>
        </is>
      </c>
      <c r="G289" t="n">
        <v>52.8</v>
      </c>
      <c r="H289" t="n">
        <v>1</v>
      </c>
      <c r="I289" t="n">
        <v>1</v>
      </c>
      <c r="J289" t="n">
        <v>1</v>
      </c>
      <c r="K289" t="n">
        <v>0</v>
      </c>
      <c r="L289" t="n">
        <v>0</v>
      </c>
      <c r="M289" t="n">
        <v>0</v>
      </c>
      <c r="N289" t="n">
        <v>0</v>
      </c>
      <c r="O289" t="n">
        <v>1</v>
      </c>
      <c r="P289" t="n">
        <v>0</v>
      </c>
      <c r="Q289" t="n">
        <v>3</v>
      </c>
      <c r="R289" s="2" t="inlineStr">
        <is>
          <t>Garnlav
Norrlandslav
Revlummer</t>
        </is>
      </c>
      <c r="S289">
        <f>HYPERLINK("https://klasma.github.io/Logging_2282/artfynd/A 17141-2020 artfynd.xlsx", "A 17141-2020")</f>
        <v/>
      </c>
      <c r="T289">
        <f>HYPERLINK("https://klasma.github.io/Logging_2282/kartor/A 17141-2020 karta.png", "A 17141-2020")</f>
        <v/>
      </c>
      <c r="V289">
        <f>HYPERLINK("https://klasma.github.io/Logging_2282/klagomål/A 17141-2020 FSC-klagomål.docx", "A 17141-2020")</f>
        <v/>
      </c>
      <c r="W289">
        <f>HYPERLINK("https://klasma.github.io/Logging_2282/klagomålsmail/A 17141-2020 FSC-klagomål mail.docx", "A 17141-2020")</f>
        <v/>
      </c>
      <c r="X289">
        <f>HYPERLINK("https://klasma.github.io/Logging_2282/tillsyn/A 17141-2020 tillsynsbegäran.docx", "A 17141-2020")</f>
        <v/>
      </c>
      <c r="Y289">
        <f>HYPERLINK("https://klasma.github.io/Logging_2282/tillsynsmail/A 17141-2020 tillsynsbegäran mail.docx", "A 17141-2020")</f>
        <v/>
      </c>
    </row>
    <row r="290" ht="15" customHeight="1">
      <c r="A290" t="inlineStr">
        <is>
          <t>A 22407-2020</t>
        </is>
      </c>
      <c r="B290" s="1" t="n">
        <v>43962</v>
      </c>
      <c r="C290" s="1" t="n">
        <v>45218</v>
      </c>
      <c r="D290" t="inlineStr">
        <is>
          <t>VÄSTERNORRLANDS LÄN</t>
        </is>
      </c>
      <c r="E290" t="inlineStr">
        <is>
          <t>SUNDSVALL</t>
        </is>
      </c>
      <c r="G290" t="n">
        <v>1</v>
      </c>
      <c r="H290" t="n">
        <v>0</v>
      </c>
      <c r="I290" t="n">
        <v>1</v>
      </c>
      <c r="J290" t="n">
        <v>2</v>
      </c>
      <c r="K290" t="n">
        <v>0</v>
      </c>
      <c r="L290" t="n">
        <v>0</v>
      </c>
      <c r="M290" t="n">
        <v>0</v>
      </c>
      <c r="N290" t="n">
        <v>0</v>
      </c>
      <c r="O290" t="n">
        <v>2</v>
      </c>
      <c r="P290" t="n">
        <v>0</v>
      </c>
      <c r="Q290" t="n">
        <v>3</v>
      </c>
      <c r="R290" s="2" t="inlineStr">
        <is>
          <t>Slåtterfibbla
Ullticka
Dropptaggsvamp</t>
        </is>
      </c>
      <c r="S290">
        <f>HYPERLINK("https://klasma.github.io/Logging_2281/artfynd/A 22407-2020 artfynd.xlsx", "A 22407-2020")</f>
        <v/>
      </c>
      <c r="T290">
        <f>HYPERLINK("https://klasma.github.io/Logging_2281/kartor/A 22407-2020 karta.png", "A 22407-2020")</f>
        <v/>
      </c>
      <c r="U290">
        <f>HYPERLINK("https://klasma.github.io/Logging_2281/knärot/A 22407-2020 karta knärot.png", "A 22407-2020")</f>
        <v/>
      </c>
      <c r="V290">
        <f>HYPERLINK("https://klasma.github.io/Logging_2281/klagomål/A 22407-2020 FSC-klagomål.docx", "A 22407-2020")</f>
        <v/>
      </c>
      <c r="W290">
        <f>HYPERLINK("https://klasma.github.io/Logging_2281/klagomålsmail/A 22407-2020 FSC-klagomål mail.docx", "A 22407-2020")</f>
        <v/>
      </c>
      <c r="X290">
        <f>HYPERLINK("https://klasma.github.io/Logging_2281/tillsyn/A 22407-2020 tillsynsbegäran.docx", "A 22407-2020")</f>
        <v/>
      </c>
      <c r="Y290">
        <f>HYPERLINK("https://klasma.github.io/Logging_2281/tillsynsmail/A 22407-2020 tillsynsbegäran mail.docx", "A 22407-2020")</f>
        <v/>
      </c>
    </row>
    <row r="291" ht="15" customHeight="1">
      <c r="A291" t="inlineStr">
        <is>
          <t>A 24219-2020</t>
        </is>
      </c>
      <c r="B291" s="1" t="n">
        <v>43973</v>
      </c>
      <c r="C291" s="1" t="n">
        <v>45218</v>
      </c>
      <c r="D291" t="inlineStr">
        <is>
          <t>VÄSTERNORRLANDS LÄN</t>
        </is>
      </c>
      <c r="E291" t="inlineStr">
        <is>
          <t>SOLLEFTEÅ</t>
        </is>
      </c>
      <c r="G291" t="n">
        <v>11.9</v>
      </c>
      <c r="H291" t="n">
        <v>0</v>
      </c>
      <c r="I291" t="n">
        <v>0</v>
      </c>
      <c r="J291" t="n">
        <v>3</v>
      </c>
      <c r="K291" t="n">
        <v>0</v>
      </c>
      <c r="L291" t="n">
        <v>0</v>
      </c>
      <c r="M291" t="n">
        <v>0</v>
      </c>
      <c r="N291" t="n">
        <v>0</v>
      </c>
      <c r="O291" t="n">
        <v>3</v>
      </c>
      <c r="P291" t="n">
        <v>0</v>
      </c>
      <c r="Q291" t="n">
        <v>3</v>
      </c>
      <c r="R291" s="2" t="inlineStr">
        <is>
          <t>Garnlav
Lunglav
Rosenticka</t>
        </is>
      </c>
      <c r="S291">
        <f>HYPERLINK("https://klasma.github.io/Logging_2283/artfynd/A 24219-2020 artfynd.xlsx", "A 24219-2020")</f>
        <v/>
      </c>
      <c r="T291">
        <f>HYPERLINK("https://klasma.github.io/Logging_2283/kartor/A 24219-2020 karta.png", "A 24219-2020")</f>
        <v/>
      </c>
      <c r="V291">
        <f>HYPERLINK("https://klasma.github.io/Logging_2283/klagomål/A 24219-2020 FSC-klagomål.docx", "A 24219-2020")</f>
        <v/>
      </c>
      <c r="W291">
        <f>HYPERLINK("https://klasma.github.io/Logging_2283/klagomålsmail/A 24219-2020 FSC-klagomål mail.docx", "A 24219-2020")</f>
        <v/>
      </c>
      <c r="X291">
        <f>HYPERLINK("https://klasma.github.io/Logging_2283/tillsyn/A 24219-2020 tillsynsbegäran.docx", "A 24219-2020")</f>
        <v/>
      </c>
      <c r="Y291">
        <f>HYPERLINK("https://klasma.github.io/Logging_2283/tillsynsmail/A 24219-2020 tillsynsbegäran mail.docx", "A 24219-2020")</f>
        <v/>
      </c>
    </row>
    <row r="292" ht="15" customHeight="1">
      <c r="A292" t="inlineStr">
        <is>
          <t>A 31640-2020</t>
        </is>
      </c>
      <c r="B292" s="1" t="n">
        <v>44013</v>
      </c>
      <c r="C292" s="1" t="n">
        <v>45218</v>
      </c>
      <c r="D292" t="inlineStr">
        <is>
          <t>VÄSTERNORRLANDS LÄN</t>
        </is>
      </c>
      <c r="E292" t="inlineStr">
        <is>
          <t>SOLLEFTEÅ</t>
        </is>
      </c>
      <c r="F292" t="inlineStr">
        <is>
          <t>SCA</t>
        </is>
      </c>
      <c r="G292" t="n">
        <v>27.4</v>
      </c>
      <c r="H292" t="n">
        <v>1</v>
      </c>
      <c r="I292" t="n">
        <v>0</v>
      </c>
      <c r="J292" t="n">
        <v>2</v>
      </c>
      <c r="K292" t="n">
        <v>1</v>
      </c>
      <c r="L292" t="n">
        <v>0</v>
      </c>
      <c r="M292" t="n">
        <v>0</v>
      </c>
      <c r="N292" t="n">
        <v>0</v>
      </c>
      <c r="O292" t="n">
        <v>3</v>
      </c>
      <c r="P292" t="n">
        <v>1</v>
      </c>
      <c r="Q292" t="n">
        <v>3</v>
      </c>
      <c r="R292" s="2" t="inlineStr">
        <is>
          <t>Doftticka
Lunglav
Skrovellav</t>
        </is>
      </c>
      <c r="S292">
        <f>HYPERLINK("https://klasma.github.io/Logging_2283/artfynd/A 31640-2020 artfynd.xlsx", "A 31640-2020")</f>
        <v/>
      </c>
      <c r="T292">
        <f>HYPERLINK("https://klasma.github.io/Logging_2283/kartor/A 31640-2020 karta.png", "A 31640-2020")</f>
        <v/>
      </c>
      <c r="V292">
        <f>HYPERLINK("https://klasma.github.io/Logging_2283/klagomål/A 31640-2020 FSC-klagomål.docx", "A 31640-2020")</f>
        <v/>
      </c>
      <c r="W292">
        <f>HYPERLINK("https://klasma.github.io/Logging_2283/klagomålsmail/A 31640-2020 FSC-klagomål mail.docx", "A 31640-2020")</f>
        <v/>
      </c>
      <c r="X292">
        <f>HYPERLINK("https://klasma.github.io/Logging_2283/tillsyn/A 31640-2020 tillsynsbegäran.docx", "A 31640-2020")</f>
        <v/>
      </c>
      <c r="Y292">
        <f>HYPERLINK("https://klasma.github.io/Logging_2283/tillsynsmail/A 31640-2020 tillsynsbegäran mail.docx", "A 31640-2020")</f>
        <v/>
      </c>
    </row>
    <row r="293" ht="15" customHeight="1">
      <c r="A293" t="inlineStr">
        <is>
          <t>A 43946-2020</t>
        </is>
      </c>
      <c r="B293" s="1" t="n">
        <v>44083</v>
      </c>
      <c r="C293" s="1" t="n">
        <v>45218</v>
      </c>
      <c r="D293" t="inlineStr">
        <is>
          <t>VÄSTERNORRLANDS LÄN</t>
        </is>
      </c>
      <c r="E293" t="inlineStr">
        <is>
          <t>ÖRNSKÖLDSVIK</t>
        </is>
      </c>
      <c r="F293" t="inlineStr">
        <is>
          <t>Holmen skog AB</t>
        </is>
      </c>
      <c r="G293" t="n">
        <v>3.6</v>
      </c>
      <c r="H293" t="n">
        <v>0</v>
      </c>
      <c r="I293" t="n">
        <v>0</v>
      </c>
      <c r="J293" t="n">
        <v>3</v>
      </c>
      <c r="K293" t="n">
        <v>0</v>
      </c>
      <c r="L293" t="n">
        <v>0</v>
      </c>
      <c r="M293" t="n">
        <v>0</v>
      </c>
      <c r="N293" t="n">
        <v>0</v>
      </c>
      <c r="O293" t="n">
        <v>3</v>
      </c>
      <c r="P293" t="n">
        <v>0</v>
      </c>
      <c r="Q293" t="n">
        <v>3</v>
      </c>
      <c r="R293" s="2" t="inlineStr">
        <is>
          <t>Blågrå svartspik
Garnlav
Kolflarnlav</t>
        </is>
      </c>
      <c r="S293">
        <f>HYPERLINK("https://klasma.github.io/Logging_2284/artfynd/A 43946-2020 artfynd.xlsx", "A 43946-2020")</f>
        <v/>
      </c>
      <c r="T293">
        <f>HYPERLINK("https://klasma.github.io/Logging_2284/kartor/A 43946-2020 karta.png", "A 43946-2020")</f>
        <v/>
      </c>
      <c r="V293">
        <f>HYPERLINK("https://klasma.github.io/Logging_2284/klagomål/A 43946-2020 FSC-klagomål.docx", "A 43946-2020")</f>
        <v/>
      </c>
      <c r="W293">
        <f>HYPERLINK("https://klasma.github.io/Logging_2284/klagomålsmail/A 43946-2020 FSC-klagomål mail.docx", "A 43946-2020")</f>
        <v/>
      </c>
      <c r="X293">
        <f>HYPERLINK("https://klasma.github.io/Logging_2284/tillsyn/A 43946-2020 tillsynsbegäran.docx", "A 43946-2020")</f>
        <v/>
      </c>
      <c r="Y293">
        <f>HYPERLINK("https://klasma.github.io/Logging_2284/tillsynsmail/A 43946-2020 tillsynsbegäran mail.docx", "A 43946-2020")</f>
        <v/>
      </c>
    </row>
    <row r="294" ht="15" customHeight="1">
      <c r="A294" t="inlineStr">
        <is>
          <t>A 53172-2020</t>
        </is>
      </c>
      <c r="B294" s="1" t="n">
        <v>44120</v>
      </c>
      <c r="C294" s="1" t="n">
        <v>45218</v>
      </c>
      <c r="D294" t="inlineStr">
        <is>
          <t>VÄSTERNORRLANDS LÄN</t>
        </is>
      </c>
      <c r="E294" t="inlineStr">
        <is>
          <t>ÅNGE</t>
        </is>
      </c>
      <c r="F294" t="inlineStr">
        <is>
          <t>SCA</t>
        </is>
      </c>
      <c r="G294" t="n">
        <v>10.6</v>
      </c>
      <c r="H294" t="n">
        <v>1</v>
      </c>
      <c r="I294" t="n">
        <v>1</v>
      </c>
      <c r="J294" t="n">
        <v>2</v>
      </c>
      <c r="K294" t="n">
        <v>0</v>
      </c>
      <c r="L294" t="n">
        <v>0</v>
      </c>
      <c r="M294" t="n">
        <v>0</v>
      </c>
      <c r="N294" t="n">
        <v>0</v>
      </c>
      <c r="O294" t="n">
        <v>2</v>
      </c>
      <c r="P294" t="n">
        <v>0</v>
      </c>
      <c r="Q294" t="n">
        <v>3</v>
      </c>
      <c r="R294" s="2" t="inlineStr">
        <is>
          <t>Brunpudrad nållav
Tretåig hackspett
Gulnål</t>
        </is>
      </c>
      <c r="S294">
        <f>HYPERLINK("https://klasma.github.io/Logging_2260/artfynd/A 53172-2020 artfynd.xlsx", "A 53172-2020")</f>
        <v/>
      </c>
      <c r="T294">
        <f>HYPERLINK("https://klasma.github.io/Logging_2260/kartor/A 53172-2020 karta.png", "A 53172-2020")</f>
        <v/>
      </c>
      <c r="V294">
        <f>HYPERLINK("https://klasma.github.io/Logging_2260/klagomål/A 53172-2020 FSC-klagomål.docx", "A 53172-2020")</f>
        <v/>
      </c>
      <c r="W294">
        <f>HYPERLINK("https://klasma.github.io/Logging_2260/klagomålsmail/A 53172-2020 FSC-klagomål mail.docx", "A 53172-2020")</f>
        <v/>
      </c>
      <c r="X294">
        <f>HYPERLINK("https://klasma.github.io/Logging_2260/tillsyn/A 53172-2020 tillsynsbegäran.docx", "A 53172-2020")</f>
        <v/>
      </c>
      <c r="Y294">
        <f>HYPERLINK("https://klasma.github.io/Logging_2260/tillsynsmail/A 53172-2020 tillsynsbegäran mail.docx", "A 53172-2020")</f>
        <v/>
      </c>
    </row>
    <row r="295" ht="15" customHeight="1">
      <c r="A295" t="inlineStr">
        <is>
          <t>A 58925-2020</t>
        </is>
      </c>
      <c r="B295" s="1" t="n">
        <v>44146</v>
      </c>
      <c r="C295" s="1" t="n">
        <v>45218</v>
      </c>
      <c r="D295" t="inlineStr">
        <is>
          <t>VÄSTERNORRLANDS LÄN</t>
        </is>
      </c>
      <c r="E295" t="inlineStr">
        <is>
          <t>ÖRNSKÖLDSVIK</t>
        </is>
      </c>
      <c r="F295" t="inlineStr">
        <is>
          <t>Holmen skog AB</t>
        </is>
      </c>
      <c r="G295" t="n">
        <v>8</v>
      </c>
      <c r="H295" t="n">
        <v>0</v>
      </c>
      <c r="I295" t="n">
        <v>1</v>
      </c>
      <c r="J295" t="n">
        <v>2</v>
      </c>
      <c r="K295" t="n">
        <v>0</v>
      </c>
      <c r="L295" t="n">
        <v>0</v>
      </c>
      <c r="M295" t="n">
        <v>0</v>
      </c>
      <c r="N295" t="n">
        <v>0</v>
      </c>
      <c r="O295" t="n">
        <v>2</v>
      </c>
      <c r="P295" t="n">
        <v>0</v>
      </c>
      <c r="Q295" t="n">
        <v>3</v>
      </c>
      <c r="R295" s="2" t="inlineStr">
        <is>
          <t>Garnlav
Ullticka
Stuplav</t>
        </is>
      </c>
      <c r="S295">
        <f>HYPERLINK("https://klasma.github.io/Logging_2284/artfynd/A 58925-2020 artfynd.xlsx", "A 58925-2020")</f>
        <v/>
      </c>
      <c r="T295">
        <f>HYPERLINK("https://klasma.github.io/Logging_2284/kartor/A 58925-2020 karta.png", "A 58925-2020")</f>
        <v/>
      </c>
      <c r="V295">
        <f>HYPERLINK("https://klasma.github.io/Logging_2284/klagomål/A 58925-2020 FSC-klagomål.docx", "A 58925-2020")</f>
        <v/>
      </c>
      <c r="W295">
        <f>HYPERLINK("https://klasma.github.io/Logging_2284/klagomålsmail/A 58925-2020 FSC-klagomål mail.docx", "A 58925-2020")</f>
        <v/>
      </c>
      <c r="X295">
        <f>HYPERLINK("https://klasma.github.io/Logging_2284/tillsyn/A 58925-2020 tillsynsbegäran.docx", "A 58925-2020")</f>
        <v/>
      </c>
      <c r="Y295">
        <f>HYPERLINK("https://klasma.github.io/Logging_2284/tillsynsmail/A 58925-2020 tillsynsbegäran mail.docx", "A 58925-2020")</f>
        <v/>
      </c>
    </row>
    <row r="296" ht="15" customHeight="1">
      <c r="A296" t="inlineStr">
        <is>
          <t>A 63106-2020</t>
        </is>
      </c>
      <c r="B296" s="1" t="n">
        <v>44162</v>
      </c>
      <c r="C296" s="1" t="n">
        <v>45218</v>
      </c>
      <c r="D296" t="inlineStr">
        <is>
          <t>VÄSTERNORRLANDS LÄN</t>
        </is>
      </c>
      <c r="E296" t="inlineStr">
        <is>
          <t>ÖRNSKÖLDSVIK</t>
        </is>
      </c>
      <c r="F296" t="inlineStr">
        <is>
          <t>Holmen skog AB</t>
        </is>
      </c>
      <c r="G296" t="n">
        <v>2.4</v>
      </c>
      <c r="H296" t="n">
        <v>0</v>
      </c>
      <c r="I296" t="n">
        <v>1</v>
      </c>
      <c r="J296" t="n">
        <v>2</v>
      </c>
      <c r="K296" t="n">
        <v>0</v>
      </c>
      <c r="L296" t="n">
        <v>0</v>
      </c>
      <c r="M296" t="n">
        <v>0</v>
      </c>
      <c r="N296" t="n">
        <v>0</v>
      </c>
      <c r="O296" t="n">
        <v>2</v>
      </c>
      <c r="P296" t="n">
        <v>0</v>
      </c>
      <c r="Q296" t="n">
        <v>3</v>
      </c>
      <c r="R296" s="2" t="inlineStr">
        <is>
          <t>Garnlav
Lunglav
Stuplav</t>
        </is>
      </c>
      <c r="S296">
        <f>HYPERLINK("https://klasma.github.io/Logging_2284/artfynd/A 63106-2020 artfynd.xlsx", "A 63106-2020")</f>
        <v/>
      </c>
      <c r="T296">
        <f>HYPERLINK("https://klasma.github.io/Logging_2284/kartor/A 63106-2020 karta.png", "A 63106-2020")</f>
        <v/>
      </c>
      <c r="V296">
        <f>HYPERLINK("https://klasma.github.io/Logging_2284/klagomål/A 63106-2020 FSC-klagomål.docx", "A 63106-2020")</f>
        <v/>
      </c>
      <c r="W296">
        <f>HYPERLINK("https://klasma.github.io/Logging_2284/klagomålsmail/A 63106-2020 FSC-klagomål mail.docx", "A 63106-2020")</f>
        <v/>
      </c>
      <c r="X296">
        <f>HYPERLINK("https://klasma.github.io/Logging_2284/tillsyn/A 63106-2020 tillsynsbegäran.docx", "A 63106-2020")</f>
        <v/>
      </c>
      <c r="Y296">
        <f>HYPERLINK("https://klasma.github.io/Logging_2284/tillsynsmail/A 63106-2020 tillsynsbegäran mail.docx", "A 63106-2020")</f>
        <v/>
      </c>
    </row>
    <row r="297" ht="15" customHeight="1">
      <c r="A297" t="inlineStr">
        <is>
          <t>A 64990-2020</t>
        </is>
      </c>
      <c r="B297" s="1" t="n">
        <v>44172</v>
      </c>
      <c r="C297" s="1" t="n">
        <v>45218</v>
      </c>
      <c r="D297" t="inlineStr">
        <is>
          <t>VÄSTERNORRLANDS LÄN</t>
        </is>
      </c>
      <c r="E297" t="inlineStr">
        <is>
          <t>ÖRNSKÖLDSVIK</t>
        </is>
      </c>
      <c r="G297" t="n">
        <v>37.6</v>
      </c>
      <c r="H297" t="n">
        <v>1</v>
      </c>
      <c r="I297" t="n">
        <v>0</v>
      </c>
      <c r="J297" t="n">
        <v>1</v>
      </c>
      <c r="K297" t="n">
        <v>1</v>
      </c>
      <c r="L297" t="n">
        <v>0</v>
      </c>
      <c r="M297" t="n">
        <v>0</v>
      </c>
      <c r="N297" t="n">
        <v>0</v>
      </c>
      <c r="O297" t="n">
        <v>2</v>
      </c>
      <c r="P297" t="n">
        <v>1</v>
      </c>
      <c r="Q297" t="n">
        <v>3</v>
      </c>
      <c r="R297" s="2" t="inlineStr">
        <is>
          <t>Lappticka
Kandelabersvamp
Nattviol</t>
        </is>
      </c>
      <c r="S297">
        <f>HYPERLINK("https://klasma.github.io/Logging_2284/artfynd/A 64990-2020 artfynd.xlsx", "A 64990-2020")</f>
        <v/>
      </c>
      <c r="T297">
        <f>HYPERLINK("https://klasma.github.io/Logging_2284/kartor/A 64990-2020 karta.png", "A 64990-2020")</f>
        <v/>
      </c>
      <c r="V297">
        <f>HYPERLINK("https://klasma.github.io/Logging_2284/klagomål/A 64990-2020 FSC-klagomål.docx", "A 64990-2020")</f>
        <v/>
      </c>
      <c r="W297">
        <f>HYPERLINK("https://klasma.github.io/Logging_2284/klagomålsmail/A 64990-2020 FSC-klagomål mail.docx", "A 64990-2020")</f>
        <v/>
      </c>
      <c r="X297">
        <f>HYPERLINK("https://klasma.github.io/Logging_2284/tillsyn/A 64990-2020 tillsynsbegäran.docx", "A 64990-2020")</f>
        <v/>
      </c>
      <c r="Y297">
        <f>HYPERLINK("https://klasma.github.io/Logging_2284/tillsynsmail/A 64990-2020 tillsynsbegäran mail.docx", "A 64990-2020")</f>
        <v/>
      </c>
    </row>
    <row r="298" ht="15" customHeight="1">
      <c r="A298" t="inlineStr">
        <is>
          <t>A 1680-2021</t>
        </is>
      </c>
      <c r="B298" s="1" t="n">
        <v>44209</v>
      </c>
      <c r="C298" s="1" t="n">
        <v>45218</v>
      </c>
      <c r="D298" t="inlineStr">
        <is>
          <t>VÄSTERNORRLANDS LÄN</t>
        </is>
      </c>
      <c r="E298" t="inlineStr">
        <is>
          <t>ÖRNSKÖLDSVIK</t>
        </is>
      </c>
      <c r="G298" t="n">
        <v>6.2</v>
      </c>
      <c r="H298" t="n">
        <v>0</v>
      </c>
      <c r="I298" t="n">
        <v>1</v>
      </c>
      <c r="J298" t="n">
        <v>2</v>
      </c>
      <c r="K298" t="n">
        <v>0</v>
      </c>
      <c r="L298" t="n">
        <v>0</v>
      </c>
      <c r="M298" t="n">
        <v>0</v>
      </c>
      <c r="N298" t="n">
        <v>0</v>
      </c>
      <c r="O298" t="n">
        <v>2</v>
      </c>
      <c r="P298" t="n">
        <v>0</v>
      </c>
      <c r="Q298" t="n">
        <v>3</v>
      </c>
      <c r="R298" s="2" t="inlineStr">
        <is>
          <t>Lunglav
Ullticka
Stuplav</t>
        </is>
      </c>
      <c r="S298">
        <f>HYPERLINK("https://klasma.github.io/Logging_2284/artfynd/A 1680-2021 artfynd.xlsx", "A 1680-2021")</f>
        <v/>
      </c>
      <c r="T298">
        <f>HYPERLINK("https://klasma.github.io/Logging_2284/kartor/A 1680-2021 karta.png", "A 1680-2021")</f>
        <v/>
      </c>
      <c r="V298">
        <f>HYPERLINK("https://klasma.github.io/Logging_2284/klagomål/A 1680-2021 FSC-klagomål.docx", "A 1680-2021")</f>
        <v/>
      </c>
      <c r="W298">
        <f>HYPERLINK("https://klasma.github.io/Logging_2284/klagomålsmail/A 1680-2021 FSC-klagomål mail.docx", "A 1680-2021")</f>
        <v/>
      </c>
      <c r="X298">
        <f>HYPERLINK("https://klasma.github.io/Logging_2284/tillsyn/A 1680-2021 tillsynsbegäran.docx", "A 1680-2021")</f>
        <v/>
      </c>
      <c r="Y298">
        <f>HYPERLINK("https://klasma.github.io/Logging_2284/tillsynsmail/A 1680-2021 tillsynsbegäran mail.docx", "A 1680-2021")</f>
        <v/>
      </c>
    </row>
    <row r="299" ht="15" customHeight="1">
      <c r="A299" t="inlineStr">
        <is>
          <t>A 2806-2021</t>
        </is>
      </c>
      <c r="B299" s="1" t="n">
        <v>44215</v>
      </c>
      <c r="C299" s="1" t="n">
        <v>45218</v>
      </c>
      <c r="D299" t="inlineStr">
        <is>
          <t>VÄSTERNORRLANDS LÄN</t>
        </is>
      </c>
      <c r="E299" t="inlineStr">
        <is>
          <t>KRAMFORS</t>
        </is>
      </c>
      <c r="G299" t="n">
        <v>4.2</v>
      </c>
      <c r="H299" t="n">
        <v>0</v>
      </c>
      <c r="I299" t="n">
        <v>0</v>
      </c>
      <c r="J299" t="n">
        <v>3</v>
      </c>
      <c r="K299" t="n">
        <v>0</v>
      </c>
      <c r="L299" t="n">
        <v>0</v>
      </c>
      <c r="M299" t="n">
        <v>0</v>
      </c>
      <c r="N299" t="n">
        <v>0</v>
      </c>
      <c r="O299" t="n">
        <v>3</v>
      </c>
      <c r="P299" t="n">
        <v>0</v>
      </c>
      <c r="Q299" t="n">
        <v>3</v>
      </c>
      <c r="R299" s="2" t="inlineStr">
        <is>
          <t>Gränsticka
Rosenticka
Ullticka</t>
        </is>
      </c>
      <c r="S299">
        <f>HYPERLINK("https://klasma.github.io/Logging_2282/artfynd/A 2806-2021 artfynd.xlsx", "A 2806-2021")</f>
        <v/>
      </c>
      <c r="T299">
        <f>HYPERLINK("https://klasma.github.io/Logging_2282/kartor/A 2806-2021 karta.png", "A 2806-2021")</f>
        <v/>
      </c>
      <c r="V299">
        <f>HYPERLINK("https://klasma.github.io/Logging_2282/klagomål/A 2806-2021 FSC-klagomål.docx", "A 2806-2021")</f>
        <v/>
      </c>
      <c r="W299">
        <f>HYPERLINK("https://klasma.github.io/Logging_2282/klagomålsmail/A 2806-2021 FSC-klagomål mail.docx", "A 2806-2021")</f>
        <v/>
      </c>
      <c r="X299">
        <f>HYPERLINK("https://klasma.github.io/Logging_2282/tillsyn/A 2806-2021 tillsynsbegäran.docx", "A 2806-2021")</f>
        <v/>
      </c>
      <c r="Y299">
        <f>HYPERLINK("https://klasma.github.io/Logging_2282/tillsynsmail/A 2806-2021 tillsynsbegäran mail.docx", "A 2806-2021")</f>
        <v/>
      </c>
    </row>
    <row r="300" ht="15" customHeight="1">
      <c r="A300" t="inlineStr">
        <is>
          <t>A 8629-2021</t>
        </is>
      </c>
      <c r="B300" s="1" t="n">
        <v>44245</v>
      </c>
      <c r="C300" s="1" t="n">
        <v>45218</v>
      </c>
      <c r="D300" t="inlineStr">
        <is>
          <t>VÄSTERNORRLANDS LÄN</t>
        </is>
      </c>
      <c r="E300" t="inlineStr">
        <is>
          <t>HÄRNÖSAND</t>
        </is>
      </c>
      <c r="G300" t="n">
        <v>8.1</v>
      </c>
      <c r="H300" t="n">
        <v>0</v>
      </c>
      <c r="I300" t="n">
        <v>0</v>
      </c>
      <c r="J300" t="n">
        <v>3</v>
      </c>
      <c r="K300" t="n">
        <v>0</v>
      </c>
      <c r="L300" t="n">
        <v>0</v>
      </c>
      <c r="M300" t="n">
        <v>0</v>
      </c>
      <c r="N300" t="n">
        <v>0</v>
      </c>
      <c r="O300" t="n">
        <v>3</v>
      </c>
      <c r="P300" t="n">
        <v>0</v>
      </c>
      <c r="Q300" t="n">
        <v>3</v>
      </c>
      <c r="R300" s="2" t="inlineStr">
        <is>
          <t>Garnlav
Lunglav
Violettgrå tagellav</t>
        </is>
      </c>
      <c r="S300">
        <f>HYPERLINK("https://klasma.github.io/Logging_2280/artfynd/A 8629-2021 artfynd.xlsx", "A 8629-2021")</f>
        <v/>
      </c>
      <c r="T300">
        <f>HYPERLINK("https://klasma.github.io/Logging_2280/kartor/A 8629-2021 karta.png", "A 8629-2021")</f>
        <v/>
      </c>
      <c r="V300">
        <f>HYPERLINK("https://klasma.github.io/Logging_2280/klagomål/A 8629-2021 FSC-klagomål.docx", "A 8629-2021")</f>
        <v/>
      </c>
      <c r="W300">
        <f>HYPERLINK("https://klasma.github.io/Logging_2280/klagomålsmail/A 8629-2021 FSC-klagomål mail.docx", "A 8629-2021")</f>
        <v/>
      </c>
      <c r="X300">
        <f>HYPERLINK("https://klasma.github.io/Logging_2280/tillsyn/A 8629-2021 tillsynsbegäran.docx", "A 8629-2021")</f>
        <v/>
      </c>
      <c r="Y300">
        <f>HYPERLINK("https://klasma.github.io/Logging_2280/tillsynsmail/A 8629-2021 tillsynsbegäran mail.docx", "A 8629-2021")</f>
        <v/>
      </c>
    </row>
    <row r="301" ht="15" customHeight="1">
      <c r="A301" t="inlineStr">
        <is>
          <t>A 15666-2021</t>
        </is>
      </c>
      <c r="B301" s="1" t="n">
        <v>44285</v>
      </c>
      <c r="C301" s="1" t="n">
        <v>45218</v>
      </c>
      <c r="D301" t="inlineStr">
        <is>
          <t>VÄSTERNORRLANDS LÄN</t>
        </is>
      </c>
      <c r="E301" t="inlineStr">
        <is>
          <t>ÅNGE</t>
        </is>
      </c>
      <c r="G301" t="n">
        <v>4.3</v>
      </c>
      <c r="H301" t="n">
        <v>0</v>
      </c>
      <c r="I301" t="n">
        <v>1</v>
      </c>
      <c r="J301" t="n">
        <v>2</v>
      </c>
      <c r="K301" t="n">
        <v>0</v>
      </c>
      <c r="L301" t="n">
        <v>0</v>
      </c>
      <c r="M301" t="n">
        <v>0</v>
      </c>
      <c r="N301" t="n">
        <v>0</v>
      </c>
      <c r="O301" t="n">
        <v>2</v>
      </c>
      <c r="P301" t="n">
        <v>0</v>
      </c>
      <c r="Q301" t="n">
        <v>3</v>
      </c>
      <c r="R301" s="2" t="inlineStr">
        <is>
          <t>Lunglav
Skrovellav
Stuplav</t>
        </is>
      </c>
      <c r="S301">
        <f>HYPERLINK("https://klasma.github.io/Logging_2260/artfynd/A 15666-2021 artfynd.xlsx", "A 15666-2021")</f>
        <v/>
      </c>
      <c r="T301">
        <f>HYPERLINK("https://klasma.github.io/Logging_2260/kartor/A 15666-2021 karta.png", "A 15666-2021")</f>
        <v/>
      </c>
      <c r="V301">
        <f>HYPERLINK("https://klasma.github.io/Logging_2260/klagomål/A 15666-2021 FSC-klagomål.docx", "A 15666-2021")</f>
        <v/>
      </c>
      <c r="W301">
        <f>HYPERLINK("https://klasma.github.io/Logging_2260/klagomålsmail/A 15666-2021 FSC-klagomål mail.docx", "A 15666-2021")</f>
        <v/>
      </c>
      <c r="X301">
        <f>HYPERLINK("https://klasma.github.io/Logging_2260/tillsyn/A 15666-2021 tillsynsbegäran.docx", "A 15666-2021")</f>
        <v/>
      </c>
      <c r="Y301">
        <f>HYPERLINK("https://klasma.github.io/Logging_2260/tillsynsmail/A 15666-2021 tillsynsbegäran mail.docx", "A 15666-2021")</f>
        <v/>
      </c>
    </row>
    <row r="302" ht="15" customHeight="1">
      <c r="A302" t="inlineStr">
        <is>
          <t>A 23497-2021</t>
        </is>
      </c>
      <c r="B302" s="1" t="n">
        <v>44333</v>
      </c>
      <c r="C302" s="1" t="n">
        <v>45218</v>
      </c>
      <c r="D302" t="inlineStr">
        <is>
          <t>VÄSTERNORRLANDS LÄN</t>
        </is>
      </c>
      <c r="E302" t="inlineStr">
        <is>
          <t>HÄRNÖSAND</t>
        </is>
      </c>
      <c r="G302" t="n">
        <v>2.4</v>
      </c>
      <c r="H302" t="n">
        <v>0</v>
      </c>
      <c r="I302" t="n">
        <v>0</v>
      </c>
      <c r="J302" t="n">
        <v>2</v>
      </c>
      <c r="K302" t="n">
        <v>1</v>
      </c>
      <c r="L302" t="n">
        <v>0</v>
      </c>
      <c r="M302" t="n">
        <v>0</v>
      </c>
      <c r="N302" t="n">
        <v>0</v>
      </c>
      <c r="O302" t="n">
        <v>3</v>
      </c>
      <c r="P302" t="n">
        <v>1</v>
      </c>
      <c r="Q302" t="n">
        <v>3</v>
      </c>
      <c r="R302" s="2" t="inlineStr">
        <is>
          <t>Rynkskinn
Garnlav
Ullticka</t>
        </is>
      </c>
      <c r="S302">
        <f>HYPERLINK("https://klasma.github.io/Logging_2280/artfynd/A 23497-2021 artfynd.xlsx", "A 23497-2021")</f>
        <v/>
      </c>
      <c r="T302">
        <f>HYPERLINK("https://klasma.github.io/Logging_2280/kartor/A 23497-2021 karta.png", "A 23497-2021")</f>
        <v/>
      </c>
      <c r="V302">
        <f>HYPERLINK("https://klasma.github.io/Logging_2280/klagomål/A 23497-2021 FSC-klagomål.docx", "A 23497-2021")</f>
        <v/>
      </c>
      <c r="W302">
        <f>HYPERLINK("https://klasma.github.io/Logging_2280/klagomålsmail/A 23497-2021 FSC-klagomål mail.docx", "A 23497-2021")</f>
        <v/>
      </c>
      <c r="X302">
        <f>HYPERLINK("https://klasma.github.io/Logging_2280/tillsyn/A 23497-2021 tillsynsbegäran.docx", "A 23497-2021")</f>
        <v/>
      </c>
      <c r="Y302">
        <f>HYPERLINK("https://klasma.github.io/Logging_2280/tillsynsmail/A 23497-2021 tillsynsbegäran mail.docx", "A 23497-2021")</f>
        <v/>
      </c>
    </row>
    <row r="303" ht="15" customHeight="1">
      <c r="A303" t="inlineStr">
        <is>
          <t>A 24268-2021</t>
        </is>
      </c>
      <c r="B303" s="1" t="n">
        <v>44336</v>
      </c>
      <c r="C303" s="1" t="n">
        <v>45218</v>
      </c>
      <c r="D303" t="inlineStr">
        <is>
          <t>VÄSTERNORRLANDS LÄN</t>
        </is>
      </c>
      <c r="E303" t="inlineStr">
        <is>
          <t>SUNDSVALL</t>
        </is>
      </c>
      <c r="F303" t="inlineStr">
        <is>
          <t>SCA</t>
        </is>
      </c>
      <c r="G303" t="n">
        <v>5.4</v>
      </c>
      <c r="H303" t="n">
        <v>2</v>
      </c>
      <c r="I303" t="n">
        <v>0</v>
      </c>
      <c r="J303" t="n">
        <v>1</v>
      </c>
      <c r="K303" t="n">
        <v>0</v>
      </c>
      <c r="L303" t="n">
        <v>0</v>
      </c>
      <c r="M303" t="n">
        <v>0</v>
      </c>
      <c r="N303" t="n">
        <v>0</v>
      </c>
      <c r="O303" t="n">
        <v>1</v>
      </c>
      <c r="P303" t="n">
        <v>0</v>
      </c>
      <c r="Q303" t="n">
        <v>3</v>
      </c>
      <c r="R303" s="2" t="inlineStr">
        <is>
          <t>Lunglav
Fläcknycklar
Revlummer</t>
        </is>
      </c>
      <c r="S303">
        <f>HYPERLINK("https://klasma.github.io/Logging_2281/artfynd/A 24268-2021 artfynd.xlsx", "A 24268-2021")</f>
        <v/>
      </c>
      <c r="T303">
        <f>HYPERLINK("https://klasma.github.io/Logging_2281/kartor/A 24268-2021 karta.png", "A 24268-2021")</f>
        <v/>
      </c>
      <c r="V303">
        <f>HYPERLINK("https://klasma.github.io/Logging_2281/klagomål/A 24268-2021 FSC-klagomål.docx", "A 24268-2021")</f>
        <v/>
      </c>
      <c r="W303">
        <f>HYPERLINK("https://klasma.github.io/Logging_2281/klagomålsmail/A 24268-2021 FSC-klagomål mail.docx", "A 24268-2021")</f>
        <v/>
      </c>
      <c r="X303">
        <f>HYPERLINK("https://klasma.github.io/Logging_2281/tillsyn/A 24268-2021 tillsynsbegäran.docx", "A 24268-2021")</f>
        <v/>
      </c>
      <c r="Y303">
        <f>HYPERLINK("https://klasma.github.io/Logging_2281/tillsynsmail/A 24268-2021 tillsynsbegäran mail.docx", "A 24268-2021")</f>
        <v/>
      </c>
    </row>
    <row r="304" ht="15" customHeight="1">
      <c r="A304" t="inlineStr">
        <is>
          <t>A 26694-2021</t>
        </is>
      </c>
      <c r="B304" s="1" t="n">
        <v>44349</v>
      </c>
      <c r="C304" s="1" t="n">
        <v>45218</v>
      </c>
      <c r="D304" t="inlineStr">
        <is>
          <t>VÄSTERNORRLANDS LÄN</t>
        </is>
      </c>
      <c r="E304" t="inlineStr">
        <is>
          <t>ÖRNSKÖLDSVIK</t>
        </is>
      </c>
      <c r="F304" t="inlineStr">
        <is>
          <t>Holmen skog AB</t>
        </is>
      </c>
      <c r="G304" t="n">
        <v>5.5</v>
      </c>
      <c r="H304" t="n">
        <v>1</v>
      </c>
      <c r="I304" t="n">
        <v>0</v>
      </c>
      <c r="J304" t="n">
        <v>2</v>
      </c>
      <c r="K304" t="n">
        <v>0</v>
      </c>
      <c r="L304" t="n">
        <v>0</v>
      </c>
      <c r="M304" t="n">
        <v>0</v>
      </c>
      <c r="N304" t="n">
        <v>0</v>
      </c>
      <c r="O304" t="n">
        <v>2</v>
      </c>
      <c r="P304" t="n">
        <v>0</v>
      </c>
      <c r="Q304" t="n">
        <v>3</v>
      </c>
      <c r="R304" s="2" t="inlineStr">
        <is>
          <t>Harticka
Ullticka
Blåsippa</t>
        </is>
      </c>
      <c r="S304">
        <f>HYPERLINK("https://klasma.github.io/Logging_2284/artfynd/A 26694-2021 artfynd.xlsx", "A 26694-2021")</f>
        <v/>
      </c>
      <c r="T304">
        <f>HYPERLINK("https://klasma.github.io/Logging_2284/kartor/A 26694-2021 karta.png", "A 26694-2021")</f>
        <v/>
      </c>
      <c r="V304">
        <f>HYPERLINK("https://klasma.github.io/Logging_2284/klagomål/A 26694-2021 FSC-klagomål.docx", "A 26694-2021")</f>
        <v/>
      </c>
      <c r="W304">
        <f>HYPERLINK("https://klasma.github.io/Logging_2284/klagomålsmail/A 26694-2021 FSC-klagomål mail.docx", "A 26694-2021")</f>
        <v/>
      </c>
      <c r="X304">
        <f>HYPERLINK("https://klasma.github.io/Logging_2284/tillsyn/A 26694-2021 tillsynsbegäran.docx", "A 26694-2021")</f>
        <v/>
      </c>
      <c r="Y304">
        <f>HYPERLINK("https://klasma.github.io/Logging_2284/tillsynsmail/A 26694-2021 tillsynsbegäran mail.docx", "A 26694-2021")</f>
        <v/>
      </c>
    </row>
    <row r="305" ht="15" customHeight="1">
      <c r="A305" t="inlineStr">
        <is>
          <t>A 27956-2021</t>
        </is>
      </c>
      <c r="B305" s="1" t="n">
        <v>44354</v>
      </c>
      <c r="C305" s="1" t="n">
        <v>45218</v>
      </c>
      <c r="D305" t="inlineStr">
        <is>
          <t>VÄSTERNORRLANDS LÄN</t>
        </is>
      </c>
      <c r="E305" t="inlineStr">
        <is>
          <t>ÅNGE</t>
        </is>
      </c>
      <c r="G305" t="n">
        <v>1.4</v>
      </c>
      <c r="H305" t="n">
        <v>0</v>
      </c>
      <c r="I305" t="n">
        <v>0</v>
      </c>
      <c r="J305" t="n">
        <v>3</v>
      </c>
      <c r="K305" t="n">
        <v>0</v>
      </c>
      <c r="L305" t="n">
        <v>0</v>
      </c>
      <c r="M305" t="n">
        <v>0</v>
      </c>
      <c r="N305" t="n">
        <v>0</v>
      </c>
      <c r="O305" t="n">
        <v>3</v>
      </c>
      <c r="P305" t="n">
        <v>0</v>
      </c>
      <c r="Q305" t="n">
        <v>3</v>
      </c>
      <c r="R305" s="2" t="inlineStr">
        <is>
          <t>Garnlav
Lunglav
Ullticka</t>
        </is>
      </c>
      <c r="S305">
        <f>HYPERLINK("https://klasma.github.io/Logging_2260/artfynd/A 27956-2021 artfynd.xlsx", "A 27956-2021")</f>
        <v/>
      </c>
      <c r="T305">
        <f>HYPERLINK("https://klasma.github.io/Logging_2260/kartor/A 27956-2021 karta.png", "A 27956-2021")</f>
        <v/>
      </c>
      <c r="V305">
        <f>HYPERLINK("https://klasma.github.io/Logging_2260/klagomål/A 27956-2021 FSC-klagomål.docx", "A 27956-2021")</f>
        <v/>
      </c>
      <c r="W305">
        <f>HYPERLINK("https://klasma.github.io/Logging_2260/klagomålsmail/A 27956-2021 FSC-klagomål mail.docx", "A 27956-2021")</f>
        <v/>
      </c>
      <c r="X305">
        <f>HYPERLINK("https://klasma.github.io/Logging_2260/tillsyn/A 27956-2021 tillsynsbegäran.docx", "A 27956-2021")</f>
        <v/>
      </c>
      <c r="Y305">
        <f>HYPERLINK("https://klasma.github.io/Logging_2260/tillsynsmail/A 27956-2021 tillsynsbegäran mail.docx", "A 27956-2021")</f>
        <v/>
      </c>
    </row>
    <row r="306" ht="15" customHeight="1">
      <c r="A306" t="inlineStr">
        <is>
          <t>A 33614-2021</t>
        </is>
      </c>
      <c r="B306" s="1" t="n">
        <v>44377</v>
      </c>
      <c r="C306" s="1" t="n">
        <v>45218</v>
      </c>
      <c r="D306" t="inlineStr">
        <is>
          <t>VÄSTERNORRLANDS LÄN</t>
        </is>
      </c>
      <c r="E306" t="inlineStr">
        <is>
          <t>KRAMFORS</t>
        </is>
      </c>
      <c r="G306" t="n">
        <v>4.7</v>
      </c>
      <c r="H306" t="n">
        <v>2</v>
      </c>
      <c r="I306" t="n">
        <v>2</v>
      </c>
      <c r="J306" t="n">
        <v>0</v>
      </c>
      <c r="K306" t="n">
        <v>0</v>
      </c>
      <c r="L306" t="n">
        <v>0</v>
      </c>
      <c r="M306" t="n">
        <v>0</v>
      </c>
      <c r="N306" t="n">
        <v>0</v>
      </c>
      <c r="O306" t="n">
        <v>0</v>
      </c>
      <c r="P306" t="n">
        <v>0</v>
      </c>
      <c r="Q306" t="n">
        <v>3</v>
      </c>
      <c r="R306" s="2" t="inlineStr">
        <is>
          <t>Grön sköldmossa
Stubbspretmossa
Blåsippa</t>
        </is>
      </c>
      <c r="S306">
        <f>HYPERLINK("https://klasma.github.io/Logging_2282/artfynd/A 33614-2021 artfynd.xlsx", "A 33614-2021")</f>
        <v/>
      </c>
      <c r="T306">
        <f>HYPERLINK("https://klasma.github.io/Logging_2282/kartor/A 33614-2021 karta.png", "A 33614-2021")</f>
        <v/>
      </c>
      <c r="V306">
        <f>HYPERLINK("https://klasma.github.io/Logging_2282/klagomål/A 33614-2021 FSC-klagomål.docx", "A 33614-2021")</f>
        <v/>
      </c>
      <c r="W306">
        <f>HYPERLINK("https://klasma.github.io/Logging_2282/klagomålsmail/A 33614-2021 FSC-klagomål mail.docx", "A 33614-2021")</f>
        <v/>
      </c>
      <c r="X306">
        <f>HYPERLINK("https://klasma.github.io/Logging_2282/tillsyn/A 33614-2021 tillsynsbegäran.docx", "A 33614-2021")</f>
        <v/>
      </c>
      <c r="Y306">
        <f>HYPERLINK("https://klasma.github.io/Logging_2282/tillsynsmail/A 33614-2021 tillsynsbegäran mail.docx", "A 33614-2021")</f>
        <v/>
      </c>
    </row>
    <row r="307" ht="15" customHeight="1">
      <c r="A307" t="inlineStr">
        <is>
          <t>A 45122-2021</t>
        </is>
      </c>
      <c r="B307" s="1" t="n">
        <v>44439</v>
      </c>
      <c r="C307" s="1" t="n">
        <v>45218</v>
      </c>
      <c r="D307" t="inlineStr">
        <is>
          <t>VÄSTERNORRLANDS LÄN</t>
        </is>
      </c>
      <c r="E307" t="inlineStr">
        <is>
          <t>ÅNGE</t>
        </is>
      </c>
      <c r="G307" t="n">
        <v>20.3</v>
      </c>
      <c r="H307" t="n">
        <v>0</v>
      </c>
      <c r="I307" t="n">
        <v>2</v>
      </c>
      <c r="J307" t="n">
        <v>1</v>
      </c>
      <c r="K307" t="n">
        <v>0</v>
      </c>
      <c r="L307" t="n">
        <v>0</v>
      </c>
      <c r="M307" t="n">
        <v>0</v>
      </c>
      <c r="N307" t="n">
        <v>0</v>
      </c>
      <c r="O307" t="n">
        <v>1</v>
      </c>
      <c r="P307" t="n">
        <v>0</v>
      </c>
      <c r="Q307" t="n">
        <v>3</v>
      </c>
      <c r="R307" s="2" t="inlineStr">
        <is>
          <t>Reliktbock
Cixidia
Skinnlav</t>
        </is>
      </c>
      <c r="S307">
        <f>HYPERLINK("https://klasma.github.io/Logging_2260/artfynd/A 45122-2021 artfynd.xlsx", "A 45122-2021")</f>
        <v/>
      </c>
      <c r="T307">
        <f>HYPERLINK("https://klasma.github.io/Logging_2260/kartor/A 45122-2021 karta.png", "A 45122-2021")</f>
        <v/>
      </c>
      <c r="V307">
        <f>HYPERLINK("https://klasma.github.io/Logging_2260/klagomål/A 45122-2021 FSC-klagomål.docx", "A 45122-2021")</f>
        <v/>
      </c>
      <c r="W307">
        <f>HYPERLINK("https://klasma.github.io/Logging_2260/klagomålsmail/A 45122-2021 FSC-klagomål mail.docx", "A 45122-2021")</f>
        <v/>
      </c>
      <c r="X307">
        <f>HYPERLINK("https://klasma.github.io/Logging_2260/tillsyn/A 45122-2021 tillsynsbegäran.docx", "A 45122-2021")</f>
        <v/>
      </c>
      <c r="Y307">
        <f>HYPERLINK("https://klasma.github.io/Logging_2260/tillsynsmail/A 45122-2021 tillsynsbegäran mail.docx", "A 45122-2021")</f>
        <v/>
      </c>
    </row>
    <row r="308" ht="15" customHeight="1">
      <c r="A308" t="inlineStr">
        <is>
          <t>A 51999-2021</t>
        </is>
      </c>
      <c r="B308" s="1" t="n">
        <v>44463</v>
      </c>
      <c r="C308" s="1" t="n">
        <v>45218</v>
      </c>
      <c r="D308" t="inlineStr">
        <is>
          <t>VÄSTERNORRLANDS LÄN</t>
        </is>
      </c>
      <c r="E308" t="inlineStr">
        <is>
          <t>SOLLEFTEÅ</t>
        </is>
      </c>
      <c r="F308" t="inlineStr">
        <is>
          <t>Kyrkan</t>
        </is>
      </c>
      <c r="G308" t="n">
        <v>0.7</v>
      </c>
      <c r="H308" t="n">
        <v>2</v>
      </c>
      <c r="I308" t="n">
        <v>0</v>
      </c>
      <c r="J308" t="n">
        <v>2</v>
      </c>
      <c r="K308" t="n">
        <v>0</v>
      </c>
      <c r="L308" t="n">
        <v>0</v>
      </c>
      <c r="M308" t="n">
        <v>0</v>
      </c>
      <c r="N308" t="n">
        <v>0</v>
      </c>
      <c r="O308" t="n">
        <v>2</v>
      </c>
      <c r="P308" t="n">
        <v>0</v>
      </c>
      <c r="Q308" t="n">
        <v>3</v>
      </c>
      <c r="R308" s="2" t="inlineStr">
        <is>
          <t>Tretåig hackspett
Ullticka
Revlummer</t>
        </is>
      </c>
      <c r="S308">
        <f>HYPERLINK("https://klasma.github.io/Logging_2283/artfynd/A 51999-2021 artfynd.xlsx", "A 51999-2021")</f>
        <v/>
      </c>
      <c r="T308">
        <f>HYPERLINK("https://klasma.github.io/Logging_2283/kartor/A 51999-2021 karta.png", "A 51999-2021")</f>
        <v/>
      </c>
      <c r="V308">
        <f>HYPERLINK("https://klasma.github.io/Logging_2283/klagomål/A 51999-2021 FSC-klagomål.docx", "A 51999-2021")</f>
        <v/>
      </c>
      <c r="W308">
        <f>HYPERLINK("https://klasma.github.io/Logging_2283/klagomålsmail/A 51999-2021 FSC-klagomål mail.docx", "A 51999-2021")</f>
        <v/>
      </c>
      <c r="X308">
        <f>HYPERLINK("https://klasma.github.io/Logging_2283/tillsyn/A 51999-2021 tillsynsbegäran.docx", "A 51999-2021")</f>
        <v/>
      </c>
      <c r="Y308">
        <f>HYPERLINK("https://klasma.github.io/Logging_2283/tillsynsmail/A 51999-2021 tillsynsbegäran mail.docx", "A 51999-2021")</f>
        <v/>
      </c>
    </row>
    <row r="309" ht="15" customHeight="1">
      <c r="A309" t="inlineStr">
        <is>
          <t>A 54534-2021</t>
        </is>
      </c>
      <c r="B309" s="1" t="n">
        <v>44473</v>
      </c>
      <c r="C309" s="1" t="n">
        <v>45218</v>
      </c>
      <c r="D309" t="inlineStr">
        <is>
          <t>VÄSTERNORRLANDS LÄN</t>
        </is>
      </c>
      <c r="E309" t="inlineStr">
        <is>
          <t>ÖRNSKÖLDSVIK</t>
        </is>
      </c>
      <c r="F309" t="inlineStr">
        <is>
          <t>Holmen skog AB</t>
        </is>
      </c>
      <c r="G309" t="n">
        <v>2.9</v>
      </c>
      <c r="H309" t="n">
        <v>1</v>
      </c>
      <c r="I309" t="n">
        <v>0</v>
      </c>
      <c r="J309" t="n">
        <v>3</v>
      </c>
      <c r="K309" t="n">
        <v>0</v>
      </c>
      <c r="L309" t="n">
        <v>0</v>
      </c>
      <c r="M309" t="n">
        <v>0</v>
      </c>
      <c r="N309" t="n">
        <v>0</v>
      </c>
      <c r="O309" t="n">
        <v>3</v>
      </c>
      <c r="P309" t="n">
        <v>0</v>
      </c>
      <c r="Q309" t="n">
        <v>3</v>
      </c>
      <c r="R309" s="2" t="inlineStr">
        <is>
          <t>Garnlav
Spillkråka
Ullticka</t>
        </is>
      </c>
      <c r="S309">
        <f>HYPERLINK("https://klasma.github.io/Logging_2284/artfynd/A 54534-2021 artfynd.xlsx", "A 54534-2021")</f>
        <v/>
      </c>
      <c r="T309">
        <f>HYPERLINK("https://klasma.github.io/Logging_2284/kartor/A 54534-2021 karta.png", "A 54534-2021")</f>
        <v/>
      </c>
      <c r="V309">
        <f>HYPERLINK("https://klasma.github.io/Logging_2284/klagomål/A 54534-2021 FSC-klagomål.docx", "A 54534-2021")</f>
        <v/>
      </c>
      <c r="W309">
        <f>HYPERLINK("https://klasma.github.io/Logging_2284/klagomålsmail/A 54534-2021 FSC-klagomål mail.docx", "A 54534-2021")</f>
        <v/>
      </c>
      <c r="X309">
        <f>HYPERLINK("https://klasma.github.io/Logging_2284/tillsyn/A 54534-2021 tillsynsbegäran.docx", "A 54534-2021")</f>
        <v/>
      </c>
      <c r="Y309">
        <f>HYPERLINK("https://klasma.github.io/Logging_2284/tillsynsmail/A 54534-2021 tillsynsbegäran mail.docx", "A 54534-2021")</f>
        <v/>
      </c>
    </row>
    <row r="310" ht="15" customHeight="1">
      <c r="A310" t="inlineStr">
        <is>
          <t>A 60386-2021</t>
        </is>
      </c>
      <c r="B310" s="1" t="n">
        <v>44496</v>
      </c>
      <c r="C310" s="1" t="n">
        <v>45218</v>
      </c>
      <c r="D310" t="inlineStr">
        <is>
          <t>VÄSTERNORRLANDS LÄN</t>
        </is>
      </c>
      <c r="E310" t="inlineStr">
        <is>
          <t>ÖRNSKÖLDSVIK</t>
        </is>
      </c>
      <c r="G310" t="n">
        <v>2.8</v>
      </c>
      <c r="H310" t="n">
        <v>0</v>
      </c>
      <c r="I310" t="n">
        <v>0</v>
      </c>
      <c r="J310" t="n">
        <v>2</v>
      </c>
      <c r="K310" t="n">
        <v>1</v>
      </c>
      <c r="L310" t="n">
        <v>0</v>
      </c>
      <c r="M310" t="n">
        <v>0</v>
      </c>
      <c r="N310" t="n">
        <v>0</v>
      </c>
      <c r="O310" t="n">
        <v>3</v>
      </c>
      <c r="P310" t="n">
        <v>1</v>
      </c>
      <c r="Q310" t="n">
        <v>3</v>
      </c>
      <c r="R310" s="2" t="inlineStr">
        <is>
          <t>Jättemusseron
Motaggsvamp
Skrovlig taggsvamp</t>
        </is>
      </c>
      <c r="S310">
        <f>HYPERLINK("https://klasma.github.io/Logging_2284/artfynd/A 60386-2021 artfynd.xlsx", "A 60386-2021")</f>
        <v/>
      </c>
      <c r="T310">
        <f>HYPERLINK("https://klasma.github.io/Logging_2284/kartor/A 60386-2021 karta.png", "A 60386-2021")</f>
        <v/>
      </c>
      <c r="V310">
        <f>HYPERLINK("https://klasma.github.io/Logging_2284/klagomål/A 60386-2021 FSC-klagomål.docx", "A 60386-2021")</f>
        <v/>
      </c>
      <c r="W310">
        <f>HYPERLINK("https://klasma.github.io/Logging_2284/klagomålsmail/A 60386-2021 FSC-klagomål mail.docx", "A 60386-2021")</f>
        <v/>
      </c>
      <c r="X310">
        <f>HYPERLINK("https://klasma.github.io/Logging_2284/tillsyn/A 60386-2021 tillsynsbegäran.docx", "A 60386-2021")</f>
        <v/>
      </c>
      <c r="Y310">
        <f>HYPERLINK("https://klasma.github.io/Logging_2284/tillsynsmail/A 60386-2021 tillsynsbegäran mail.docx", "A 60386-2021")</f>
        <v/>
      </c>
    </row>
    <row r="311" ht="15" customHeight="1">
      <c r="A311" t="inlineStr">
        <is>
          <t>A 61481-2021</t>
        </is>
      </c>
      <c r="B311" s="1" t="n">
        <v>44500</v>
      </c>
      <c r="C311" s="1" t="n">
        <v>45218</v>
      </c>
      <c r="D311" t="inlineStr">
        <is>
          <t>VÄSTERNORRLANDS LÄN</t>
        </is>
      </c>
      <c r="E311" t="inlineStr">
        <is>
          <t>SOLLEFTEÅ</t>
        </is>
      </c>
      <c r="F311" t="inlineStr">
        <is>
          <t>SCA</t>
        </is>
      </c>
      <c r="G311" t="n">
        <v>6.8</v>
      </c>
      <c r="H311" t="n">
        <v>0</v>
      </c>
      <c r="I311" t="n">
        <v>1</v>
      </c>
      <c r="J311" t="n">
        <v>2</v>
      </c>
      <c r="K311" t="n">
        <v>0</v>
      </c>
      <c r="L311" t="n">
        <v>0</v>
      </c>
      <c r="M311" t="n">
        <v>0</v>
      </c>
      <c r="N311" t="n">
        <v>0</v>
      </c>
      <c r="O311" t="n">
        <v>2</v>
      </c>
      <c r="P311" t="n">
        <v>0</v>
      </c>
      <c r="Q311" t="n">
        <v>3</v>
      </c>
      <c r="R311" s="2" t="inlineStr">
        <is>
          <t>Lunglav
Skrovellav
Kambräken</t>
        </is>
      </c>
      <c r="S311">
        <f>HYPERLINK("https://klasma.github.io/Logging_2283/artfynd/A 61481-2021 artfynd.xlsx", "A 61481-2021")</f>
        <v/>
      </c>
      <c r="T311">
        <f>HYPERLINK("https://klasma.github.io/Logging_2283/kartor/A 61481-2021 karta.png", "A 61481-2021")</f>
        <v/>
      </c>
      <c r="V311">
        <f>HYPERLINK("https://klasma.github.io/Logging_2283/klagomål/A 61481-2021 FSC-klagomål.docx", "A 61481-2021")</f>
        <v/>
      </c>
      <c r="W311">
        <f>HYPERLINK("https://klasma.github.io/Logging_2283/klagomålsmail/A 61481-2021 FSC-klagomål mail.docx", "A 61481-2021")</f>
        <v/>
      </c>
      <c r="X311">
        <f>HYPERLINK("https://klasma.github.io/Logging_2283/tillsyn/A 61481-2021 tillsynsbegäran.docx", "A 61481-2021")</f>
        <v/>
      </c>
      <c r="Y311">
        <f>HYPERLINK("https://klasma.github.io/Logging_2283/tillsynsmail/A 61481-2021 tillsynsbegäran mail.docx", "A 61481-2021")</f>
        <v/>
      </c>
    </row>
    <row r="312" ht="15" customHeight="1">
      <c r="A312" t="inlineStr">
        <is>
          <t>A 67478-2021</t>
        </is>
      </c>
      <c r="B312" s="1" t="n">
        <v>44524</v>
      </c>
      <c r="C312" s="1" t="n">
        <v>45218</v>
      </c>
      <c r="D312" t="inlineStr">
        <is>
          <t>VÄSTERNORRLANDS LÄN</t>
        </is>
      </c>
      <c r="E312" t="inlineStr">
        <is>
          <t>KRAMFORS</t>
        </is>
      </c>
      <c r="G312" t="n">
        <v>1.8</v>
      </c>
      <c r="H312" t="n">
        <v>0</v>
      </c>
      <c r="I312" t="n">
        <v>1</v>
      </c>
      <c r="J312" t="n">
        <v>1</v>
      </c>
      <c r="K312" t="n">
        <v>1</v>
      </c>
      <c r="L312" t="n">
        <v>0</v>
      </c>
      <c r="M312" t="n">
        <v>0</v>
      </c>
      <c r="N312" t="n">
        <v>0</v>
      </c>
      <c r="O312" t="n">
        <v>2</v>
      </c>
      <c r="P312" t="n">
        <v>1</v>
      </c>
      <c r="Q312" t="n">
        <v>3</v>
      </c>
      <c r="R312" s="2" t="inlineStr">
        <is>
          <t>Aspfjädermossa
Ullticka
Rävticka</t>
        </is>
      </c>
      <c r="S312">
        <f>HYPERLINK("https://klasma.github.io/Logging_2282/artfynd/A 67478-2021 artfynd.xlsx", "A 67478-2021")</f>
        <v/>
      </c>
      <c r="T312">
        <f>HYPERLINK("https://klasma.github.io/Logging_2282/kartor/A 67478-2021 karta.png", "A 67478-2021")</f>
        <v/>
      </c>
      <c r="V312">
        <f>HYPERLINK("https://klasma.github.io/Logging_2282/klagomål/A 67478-2021 FSC-klagomål.docx", "A 67478-2021")</f>
        <v/>
      </c>
      <c r="W312">
        <f>HYPERLINK("https://klasma.github.io/Logging_2282/klagomålsmail/A 67478-2021 FSC-klagomål mail.docx", "A 67478-2021")</f>
        <v/>
      </c>
      <c r="X312">
        <f>HYPERLINK("https://klasma.github.io/Logging_2282/tillsyn/A 67478-2021 tillsynsbegäran.docx", "A 67478-2021")</f>
        <v/>
      </c>
      <c r="Y312">
        <f>HYPERLINK("https://klasma.github.io/Logging_2282/tillsynsmail/A 67478-2021 tillsynsbegäran mail.docx", "A 67478-2021")</f>
        <v/>
      </c>
    </row>
    <row r="313" ht="15" customHeight="1">
      <c r="A313" t="inlineStr">
        <is>
          <t>A 8236-2022</t>
        </is>
      </c>
      <c r="B313" s="1" t="n">
        <v>44609</v>
      </c>
      <c r="C313" s="1" t="n">
        <v>45218</v>
      </c>
      <c r="D313" t="inlineStr">
        <is>
          <t>VÄSTERNORRLANDS LÄN</t>
        </is>
      </c>
      <c r="E313" t="inlineStr">
        <is>
          <t>ÅNGE</t>
        </is>
      </c>
      <c r="F313" t="inlineStr">
        <is>
          <t>SCA</t>
        </is>
      </c>
      <c r="G313" t="n">
        <v>6.9</v>
      </c>
      <c r="H313" t="n">
        <v>1</v>
      </c>
      <c r="I313" t="n">
        <v>0</v>
      </c>
      <c r="J313" t="n">
        <v>2</v>
      </c>
      <c r="K313" t="n">
        <v>0</v>
      </c>
      <c r="L313" t="n">
        <v>0</v>
      </c>
      <c r="M313" t="n">
        <v>0</v>
      </c>
      <c r="N313" t="n">
        <v>0</v>
      </c>
      <c r="O313" t="n">
        <v>2</v>
      </c>
      <c r="P313" t="n">
        <v>0</v>
      </c>
      <c r="Q313" t="n">
        <v>3</v>
      </c>
      <c r="R313" s="2" t="inlineStr">
        <is>
          <t>Garnlav
Lunglav
Fläcknycklar</t>
        </is>
      </c>
      <c r="S313">
        <f>HYPERLINK("https://klasma.github.io/Logging_2260/artfynd/A 8236-2022 artfynd.xlsx", "A 8236-2022")</f>
        <v/>
      </c>
      <c r="T313">
        <f>HYPERLINK("https://klasma.github.io/Logging_2260/kartor/A 8236-2022 karta.png", "A 8236-2022")</f>
        <v/>
      </c>
      <c r="V313">
        <f>HYPERLINK("https://klasma.github.io/Logging_2260/klagomål/A 8236-2022 FSC-klagomål.docx", "A 8236-2022")</f>
        <v/>
      </c>
      <c r="W313">
        <f>HYPERLINK("https://klasma.github.io/Logging_2260/klagomålsmail/A 8236-2022 FSC-klagomål mail.docx", "A 8236-2022")</f>
        <v/>
      </c>
      <c r="X313">
        <f>HYPERLINK("https://klasma.github.io/Logging_2260/tillsyn/A 8236-2022 tillsynsbegäran.docx", "A 8236-2022")</f>
        <v/>
      </c>
      <c r="Y313">
        <f>HYPERLINK("https://klasma.github.io/Logging_2260/tillsynsmail/A 8236-2022 tillsynsbegäran mail.docx", "A 8236-2022")</f>
        <v/>
      </c>
    </row>
    <row r="314" ht="15" customHeight="1">
      <c r="A314" t="inlineStr">
        <is>
          <t>A 10317-2022</t>
        </is>
      </c>
      <c r="B314" s="1" t="n">
        <v>44622</v>
      </c>
      <c r="C314" s="1" t="n">
        <v>45218</v>
      </c>
      <c r="D314" t="inlineStr">
        <is>
          <t>VÄSTERNORRLANDS LÄN</t>
        </is>
      </c>
      <c r="E314" t="inlineStr">
        <is>
          <t>ÅNGE</t>
        </is>
      </c>
      <c r="F314" t="inlineStr">
        <is>
          <t>SCA</t>
        </is>
      </c>
      <c r="G314" t="n">
        <v>3</v>
      </c>
      <c r="H314" t="n">
        <v>2</v>
      </c>
      <c r="I314" t="n">
        <v>1</v>
      </c>
      <c r="J314" t="n">
        <v>1</v>
      </c>
      <c r="K314" t="n">
        <v>1</v>
      </c>
      <c r="L314" t="n">
        <v>0</v>
      </c>
      <c r="M314" t="n">
        <v>0</v>
      </c>
      <c r="N314" t="n">
        <v>0</v>
      </c>
      <c r="O314" t="n">
        <v>2</v>
      </c>
      <c r="P314" t="n">
        <v>1</v>
      </c>
      <c r="Q314" t="n">
        <v>3</v>
      </c>
      <c r="R314" s="2" t="inlineStr">
        <is>
          <t>Knärot
Granticka
Tvåblad</t>
        </is>
      </c>
      <c r="S314">
        <f>HYPERLINK("https://klasma.github.io/Logging_2260/artfynd/A 10317-2022 artfynd.xlsx", "A 10317-2022")</f>
        <v/>
      </c>
      <c r="T314">
        <f>HYPERLINK("https://klasma.github.io/Logging_2260/kartor/A 10317-2022 karta.png", "A 10317-2022")</f>
        <v/>
      </c>
      <c r="U314">
        <f>HYPERLINK("https://klasma.github.io/Logging_2260/knärot/A 10317-2022 karta knärot.png", "A 10317-2022")</f>
        <v/>
      </c>
      <c r="V314">
        <f>HYPERLINK("https://klasma.github.io/Logging_2260/klagomål/A 10317-2022 FSC-klagomål.docx", "A 10317-2022")</f>
        <v/>
      </c>
      <c r="W314">
        <f>HYPERLINK("https://klasma.github.io/Logging_2260/klagomålsmail/A 10317-2022 FSC-klagomål mail.docx", "A 10317-2022")</f>
        <v/>
      </c>
      <c r="X314">
        <f>HYPERLINK("https://klasma.github.io/Logging_2260/tillsyn/A 10317-2022 tillsynsbegäran.docx", "A 10317-2022")</f>
        <v/>
      </c>
      <c r="Y314">
        <f>HYPERLINK("https://klasma.github.io/Logging_2260/tillsynsmail/A 10317-2022 tillsynsbegäran mail.docx", "A 10317-2022")</f>
        <v/>
      </c>
    </row>
    <row r="315" ht="15" customHeight="1">
      <c r="A315" t="inlineStr">
        <is>
          <t>A 11351-2022</t>
        </is>
      </c>
      <c r="B315" s="1" t="n">
        <v>44630</v>
      </c>
      <c r="C315" s="1" t="n">
        <v>45218</v>
      </c>
      <c r="D315" t="inlineStr">
        <is>
          <t>VÄSTERNORRLANDS LÄN</t>
        </is>
      </c>
      <c r="E315" t="inlineStr">
        <is>
          <t>SUNDSVALL</t>
        </is>
      </c>
      <c r="G315" t="n">
        <v>12.1</v>
      </c>
      <c r="H315" t="n">
        <v>1</v>
      </c>
      <c r="I315" t="n">
        <v>1</v>
      </c>
      <c r="J315" t="n">
        <v>1</v>
      </c>
      <c r="K315" t="n">
        <v>1</v>
      </c>
      <c r="L315" t="n">
        <v>0</v>
      </c>
      <c r="M315" t="n">
        <v>0</v>
      </c>
      <c r="N315" t="n">
        <v>0</v>
      </c>
      <c r="O315" t="n">
        <v>2</v>
      </c>
      <c r="P315" t="n">
        <v>1</v>
      </c>
      <c r="Q315" t="n">
        <v>3</v>
      </c>
      <c r="R315" s="2" t="inlineStr">
        <is>
          <t>Knärot
Vedskivlav
Kornig nållav</t>
        </is>
      </c>
      <c r="S315">
        <f>HYPERLINK("https://klasma.github.io/Logging_2281/artfynd/A 11351-2022 artfynd.xlsx", "A 11351-2022")</f>
        <v/>
      </c>
      <c r="T315">
        <f>HYPERLINK("https://klasma.github.io/Logging_2281/kartor/A 11351-2022 karta.png", "A 11351-2022")</f>
        <v/>
      </c>
      <c r="U315">
        <f>HYPERLINK("https://klasma.github.io/Logging_2281/knärot/A 11351-2022 karta knärot.png", "A 11351-2022")</f>
        <v/>
      </c>
      <c r="V315">
        <f>HYPERLINK("https://klasma.github.io/Logging_2281/klagomål/A 11351-2022 FSC-klagomål.docx", "A 11351-2022")</f>
        <v/>
      </c>
      <c r="W315">
        <f>HYPERLINK("https://klasma.github.io/Logging_2281/klagomålsmail/A 11351-2022 FSC-klagomål mail.docx", "A 11351-2022")</f>
        <v/>
      </c>
      <c r="X315">
        <f>HYPERLINK("https://klasma.github.io/Logging_2281/tillsyn/A 11351-2022 tillsynsbegäran.docx", "A 11351-2022")</f>
        <v/>
      </c>
      <c r="Y315">
        <f>HYPERLINK("https://klasma.github.io/Logging_2281/tillsynsmail/A 11351-2022 tillsynsbegäran mail.docx", "A 11351-2022")</f>
        <v/>
      </c>
    </row>
    <row r="316" ht="15" customHeight="1">
      <c r="A316" t="inlineStr">
        <is>
          <t>A 14677-2022</t>
        </is>
      </c>
      <c r="B316" s="1" t="n">
        <v>44655</v>
      </c>
      <c r="C316" s="1" t="n">
        <v>45218</v>
      </c>
      <c r="D316" t="inlineStr">
        <is>
          <t>VÄSTERNORRLANDS LÄN</t>
        </is>
      </c>
      <c r="E316" t="inlineStr">
        <is>
          <t>SUNDSVALL</t>
        </is>
      </c>
      <c r="G316" t="n">
        <v>12.9</v>
      </c>
      <c r="H316" t="n">
        <v>2</v>
      </c>
      <c r="I316" t="n">
        <v>0</v>
      </c>
      <c r="J316" t="n">
        <v>2</v>
      </c>
      <c r="K316" t="n">
        <v>1</v>
      </c>
      <c r="L316" t="n">
        <v>0</v>
      </c>
      <c r="M316" t="n">
        <v>0</v>
      </c>
      <c r="N316" t="n">
        <v>0</v>
      </c>
      <c r="O316" t="n">
        <v>3</v>
      </c>
      <c r="P316" t="n">
        <v>1</v>
      </c>
      <c r="Q316" t="n">
        <v>3</v>
      </c>
      <c r="R316" s="2" t="inlineStr">
        <is>
          <t>Knärot
Gammelgransskål
Tretåig hackspett</t>
        </is>
      </c>
      <c r="S316">
        <f>HYPERLINK("https://klasma.github.io/Logging_2281/artfynd/A 14677-2022 artfynd.xlsx", "A 14677-2022")</f>
        <v/>
      </c>
      <c r="T316">
        <f>HYPERLINK("https://klasma.github.io/Logging_2281/kartor/A 14677-2022 karta.png", "A 14677-2022")</f>
        <v/>
      </c>
      <c r="U316">
        <f>HYPERLINK("https://klasma.github.io/Logging_2281/knärot/A 14677-2022 karta knärot.png", "A 14677-2022")</f>
        <v/>
      </c>
      <c r="V316">
        <f>HYPERLINK("https://klasma.github.io/Logging_2281/klagomål/A 14677-2022 FSC-klagomål.docx", "A 14677-2022")</f>
        <v/>
      </c>
      <c r="W316">
        <f>HYPERLINK("https://klasma.github.io/Logging_2281/klagomålsmail/A 14677-2022 FSC-klagomål mail.docx", "A 14677-2022")</f>
        <v/>
      </c>
      <c r="X316">
        <f>HYPERLINK("https://klasma.github.io/Logging_2281/tillsyn/A 14677-2022 tillsynsbegäran.docx", "A 14677-2022")</f>
        <v/>
      </c>
      <c r="Y316">
        <f>HYPERLINK("https://klasma.github.io/Logging_2281/tillsynsmail/A 14677-2022 tillsynsbegäran mail.docx", "A 14677-2022")</f>
        <v/>
      </c>
    </row>
    <row r="317" ht="15" customHeight="1">
      <c r="A317" t="inlineStr">
        <is>
          <t>A 18012-2022</t>
        </is>
      </c>
      <c r="B317" s="1" t="n">
        <v>44683</v>
      </c>
      <c r="C317" s="1" t="n">
        <v>45218</v>
      </c>
      <c r="D317" t="inlineStr">
        <is>
          <t>VÄSTERNORRLANDS LÄN</t>
        </is>
      </c>
      <c r="E317" t="inlineStr">
        <is>
          <t>SOLLEFTEÅ</t>
        </is>
      </c>
      <c r="F317" t="inlineStr">
        <is>
          <t>SCA</t>
        </is>
      </c>
      <c r="G317" t="n">
        <v>1.7</v>
      </c>
      <c r="H317" t="n">
        <v>2</v>
      </c>
      <c r="I317" t="n">
        <v>0</v>
      </c>
      <c r="J317" t="n">
        <v>2</v>
      </c>
      <c r="K317" t="n">
        <v>1</v>
      </c>
      <c r="L317" t="n">
        <v>0</v>
      </c>
      <c r="M317" t="n">
        <v>0</v>
      </c>
      <c r="N317" t="n">
        <v>0</v>
      </c>
      <c r="O317" t="n">
        <v>3</v>
      </c>
      <c r="P317" t="n">
        <v>1</v>
      </c>
      <c r="Q317" t="n">
        <v>3</v>
      </c>
      <c r="R317" s="2" t="inlineStr">
        <is>
          <t>Knärot
Garnlav
Tretåig hackspett</t>
        </is>
      </c>
      <c r="S317">
        <f>HYPERLINK("https://klasma.github.io/Logging_2283/artfynd/A 18012-2022 artfynd.xlsx", "A 18012-2022")</f>
        <v/>
      </c>
      <c r="T317">
        <f>HYPERLINK("https://klasma.github.io/Logging_2283/kartor/A 18012-2022 karta.png", "A 18012-2022")</f>
        <v/>
      </c>
      <c r="U317">
        <f>HYPERLINK("https://klasma.github.io/Logging_2283/knärot/A 18012-2022 karta knärot.png", "A 18012-2022")</f>
        <v/>
      </c>
      <c r="V317">
        <f>HYPERLINK("https://klasma.github.io/Logging_2283/klagomål/A 18012-2022 FSC-klagomål.docx", "A 18012-2022")</f>
        <v/>
      </c>
      <c r="W317">
        <f>HYPERLINK("https://klasma.github.io/Logging_2283/klagomålsmail/A 18012-2022 FSC-klagomål mail.docx", "A 18012-2022")</f>
        <v/>
      </c>
      <c r="X317">
        <f>HYPERLINK("https://klasma.github.io/Logging_2283/tillsyn/A 18012-2022 tillsynsbegäran.docx", "A 18012-2022")</f>
        <v/>
      </c>
      <c r="Y317">
        <f>HYPERLINK("https://klasma.github.io/Logging_2283/tillsynsmail/A 18012-2022 tillsynsbegäran mail.docx", "A 18012-2022")</f>
        <v/>
      </c>
    </row>
    <row r="318" ht="15" customHeight="1">
      <c r="A318" t="inlineStr">
        <is>
          <t>A 18555-2022</t>
        </is>
      </c>
      <c r="B318" s="1" t="n">
        <v>44686</v>
      </c>
      <c r="C318" s="1" t="n">
        <v>45218</v>
      </c>
      <c r="D318" t="inlineStr">
        <is>
          <t>VÄSTERNORRLANDS LÄN</t>
        </is>
      </c>
      <c r="E318" t="inlineStr">
        <is>
          <t>HÄRNÖSAND</t>
        </is>
      </c>
      <c r="F318" t="inlineStr">
        <is>
          <t>SCA</t>
        </is>
      </c>
      <c r="G318" t="n">
        <v>4.5</v>
      </c>
      <c r="H318" t="n">
        <v>1</v>
      </c>
      <c r="I318" t="n">
        <v>0</v>
      </c>
      <c r="J318" t="n">
        <v>2</v>
      </c>
      <c r="K318" t="n">
        <v>1</v>
      </c>
      <c r="L318" t="n">
        <v>0</v>
      </c>
      <c r="M318" t="n">
        <v>0</v>
      </c>
      <c r="N318" t="n">
        <v>0</v>
      </c>
      <c r="O318" t="n">
        <v>3</v>
      </c>
      <c r="P318" t="n">
        <v>1</v>
      </c>
      <c r="Q318" t="n">
        <v>3</v>
      </c>
      <c r="R318" s="2" t="inlineStr">
        <is>
          <t>Knärot
Garnlav
Lunglav</t>
        </is>
      </c>
      <c r="S318">
        <f>HYPERLINK("https://klasma.github.io/Logging_2280/artfynd/A 18555-2022 artfynd.xlsx", "A 18555-2022")</f>
        <v/>
      </c>
      <c r="T318">
        <f>HYPERLINK("https://klasma.github.io/Logging_2280/kartor/A 18555-2022 karta.png", "A 18555-2022")</f>
        <v/>
      </c>
      <c r="U318">
        <f>HYPERLINK("https://klasma.github.io/Logging_2280/knärot/A 18555-2022 karta knärot.png", "A 18555-2022")</f>
        <v/>
      </c>
      <c r="V318">
        <f>HYPERLINK("https://klasma.github.io/Logging_2280/klagomål/A 18555-2022 FSC-klagomål.docx", "A 18555-2022")</f>
        <v/>
      </c>
      <c r="W318">
        <f>HYPERLINK("https://klasma.github.io/Logging_2280/klagomålsmail/A 18555-2022 FSC-klagomål mail.docx", "A 18555-2022")</f>
        <v/>
      </c>
      <c r="X318">
        <f>HYPERLINK("https://klasma.github.io/Logging_2280/tillsyn/A 18555-2022 tillsynsbegäran.docx", "A 18555-2022")</f>
        <v/>
      </c>
      <c r="Y318">
        <f>HYPERLINK("https://klasma.github.io/Logging_2280/tillsynsmail/A 18555-2022 tillsynsbegäran mail.docx", "A 18555-2022")</f>
        <v/>
      </c>
    </row>
    <row r="319" ht="15" customHeight="1">
      <c r="A319" t="inlineStr">
        <is>
          <t>A 21662-2022</t>
        </is>
      </c>
      <c r="B319" s="1" t="n">
        <v>44706</v>
      </c>
      <c r="C319" s="1" t="n">
        <v>45218</v>
      </c>
      <c r="D319" t="inlineStr">
        <is>
          <t>VÄSTERNORRLANDS LÄN</t>
        </is>
      </c>
      <c r="E319" t="inlineStr">
        <is>
          <t>SUNDSVALL</t>
        </is>
      </c>
      <c r="F319" t="inlineStr">
        <is>
          <t>SCA</t>
        </is>
      </c>
      <c r="G319" t="n">
        <v>3.2</v>
      </c>
      <c r="H319" t="n">
        <v>1</v>
      </c>
      <c r="I319" t="n">
        <v>0</v>
      </c>
      <c r="J319" t="n">
        <v>2</v>
      </c>
      <c r="K319" t="n">
        <v>0</v>
      </c>
      <c r="L319" t="n">
        <v>0</v>
      </c>
      <c r="M319" t="n">
        <v>0</v>
      </c>
      <c r="N319" t="n">
        <v>0</v>
      </c>
      <c r="O319" t="n">
        <v>2</v>
      </c>
      <c r="P319" t="n">
        <v>0</v>
      </c>
      <c r="Q319" t="n">
        <v>3</v>
      </c>
      <c r="R319" s="2" t="inlineStr">
        <is>
          <t>Garnlav
Vedtrappmossa
Revlummer</t>
        </is>
      </c>
      <c r="S319">
        <f>HYPERLINK("https://klasma.github.io/Logging_2281/artfynd/A 21662-2022 artfynd.xlsx", "A 21662-2022")</f>
        <v/>
      </c>
      <c r="T319">
        <f>HYPERLINK("https://klasma.github.io/Logging_2281/kartor/A 21662-2022 karta.png", "A 21662-2022")</f>
        <v/>
      </c>
      <c r="V319">
        <f>HYPERLINK("https://klasma.github.io/Logging_2281/klagomål/A 21662-2022 FSC-klagomål.docx", "A 21662-2022")</f>
        <v/>
      </c>
      <c r="W319">
        <f>HYPERLINK("https://klasma.github.io/Logging_2281/klagomålsmail/A 21662-2022 FSC-klagomål mail.docx", "A 21662-2022")</f>
        <v/>
      </c>
      <c r="X319">
        <f>HYPERLINK("https://klasma.github.io/Logging_2281/tillsyn/A 21662-2022 tillsynsbegäran.docx", "A 21662-2022")</f>
        <v/>
      </c>
      <c r="Y319">
        <f>HYPERLINK("https://klasma.github.io/Logging_2281/tillsynsmail/A 21662-2022 tillsynsbegäran mail.docx", "A 21662-2022")</f>
        <v/>
      </c>
    </row>
    <row r="320" ht="15" customHeight="1">
      <c r="A320" t="inlineStr">
        <is>
          <t>A 34528-2022</t>
        </is>
      </c>
      <c r="B320" s="1" t="n">
        <v>44792</v>
      </c>
      <c r="C320" s="1" t="n">
        <v>45218</v>
      </c>
      <c r="D320" t="inlineStr">
        <is>
          <t>VÄSTERNORRLANDS LÄN</t>
        </is>
      </c>
      <c r="E320" t="inlineStr">
        <is>
          <t>SOLLEFTEÅ</t>
        </is>
      </c>
      <c r="F320" t="inlineStr">
        <is>
          <t>SCA</t>
        </is>
      </c>
      <c r="G320" t="n">
        <v>1.8</v>
      </c>
      <c r="H320" t="n">
        <v>0</v>
      </c>
      <c r="I320" t="n">
        <v>0</v>
      </c>
      <c r="J320" t="n">
        <v>3</v>
      </c>
      <c r="K320" t="n">
        <v>0</v>
      </c>
      <c r="L320" t="n">
        <v>0</v>
      </c>
      <c r="M320" t="n">
        <v>0</v>
      </c>
      <c r="N320" t="n">
        <v>0</v>
      </c>
      <c r="O320" t="n">
        <v>3</v>
      </c>
      <c r="P320" t="n">
        <v>0</v>
      </c>
      <c r="Q320" t="n">
        <v>3</v>
      </c>
      <c r="R320" s="2" t="inlineStr">
        <is>
          <t>Garnlav
Mörk kolflarnlav
Rosenticka</t>
        </is>
      </c>
      <c r="S320">
        <f>HYPERLINK("https://klasma.github.io/Logging_2283/artfynd/A 34528-2022 artfynd.xlsx", "A 34528-2022")</f>
        <v/>
      </c>
      <c r="T320">
        <f>HYPERLINK("https://klasma.github.io/Logging_2283/kartor/A 34528-2022 karta.png", "A 34528-2022")</f>
        <v/>
      </c>
      <c r="V320">
        <f>HYPERLINK("https://klasma.github.io/Logging_2283/klagomål/A 34528-2022 FSC-klagomål.docx", "A 34528-2022")</f>
        <v/>
      </c>
      <c r="W320">
        <f>HYPERLINK("https://klasma.github.io/Logging_2283/klagomålsmail/A 34528-2022 FSC-klagomål mail.docx", "A 34528-2022")</f>
        <v/>
      </c>
      <c r="X320">
        <f>HYPERLINK("https://klasma.github.io/Logging_2283/tillsyn/A 34528-2022 tillsynsbegäran.docx", "A 34528-2022")</f>
        <v/>
      </c>
      <c r="Y320">
        <f>HYPERLINK("https://klasma.github.io/Logging_2283/tillsynsmail/A 34528-2022 tillsynsbegäran mail.docx", "A 34528-2022")</f>
        <v/>
      </c>
    </row>
    <row r="321" ht="15" customHeight="1">
      <c r="A321" t="inlineStr">
        <is>
          <t>A 47816-2022</t>
        </is>
      </c>
      <c r="B321" s="1" t="n">
        <v>44854</v>
      </c>
      <c r="C321" s="1" t="n">
        <v>45218</v>
      </c>
      <c r="D321" t="inlineStr">
        <is>
          <t>VÄSTERNORRLANDS LÄN</t>
        </is>
      </c>
      <c r="E321" t="inlineStr">
        <is>
          <t>TIMRÅ</t>
        </is>
      </c>
      <c r="F321" t="inlineStr">
        <is>
          <t>SCA</t>
        </is>
      </c>
      <c r="G321" t="n">
        <v>2.9</v>
      </c>
      <c r="H321" t="n">
        <v>0</v>
      </c>
      <c r="I321" t="n">
        <v>0</v>
      </c>
      <c r="J321" t="n">
        <v>3</v>
      </c>
      <c r="K321" t="n">
        <v>0</v>
      </c>
      <c r="L321" t="n">
        <v>0</v>
      </c>
      <c r="M321" t="n">
        <v>0</v>
      </c>
      <c r="N321" t="n">
        <v>0</v>
      </c>
      <c r="O321" t="n">
        <v>3</v>
      </c>
      <c r="P321" t="n">
        <v>0</v>
      </c>
      <c r="Q321" t="n">
        <v>3</v>
      </c>
      <c r="R321" s="2" t="inlineStr">
        <is>
          <t>Garnlav
Tallticka
Violettgrå tagellav</t>
        </is>
      </c>
      <c r="S321">
        <f>HYPERLINK("https://klasma.github.io/Logging_2262/artfynd/A 47816-2022 artfynd.xlsx", "A 47816-2022")</f>
        <v/>
      </c>
      <c r="T321">
        <f>HYPERLINK("https://klasma.github.io/Logging_2262/kartor/A 47816-2022 karta.png", "A 47816-2022")</f>
        <v/>
      </c>
      <c r="V321">
        <f>HYPERLINK("https://klasma.github.io/Logging_2262/klagomål/A 47816-2022 FSC-klagomål.docx", "A 47816-2022")</f>
        <v/>
      </c>
      <c r="W321">
        <f>HYPERLINK("https://klasma.github.io/Logging_2262/klagomålsmail/A 47816-2022 FSC-klagomål mail.docx", "A 47816-2022")</f>
        <v/>
      </c>
      <c r="X321">
        <f>HYPERLINK("https://klasma.github.io/Logging_2262/tillsyn/A 47816-2022 tillsynsbegäran.docx", "A 47816-2022")</f>
        <v/>
      </c>
      <c r="Y321">
        <f>HYPERLINK("https://klasma.github.io/Logging_2262/tillsynsmail/A 47816-2022 tillsynsbegäran mail.docx", "A 47816-2022")</f>
        <v/>
      </c>
    </row>
    <row r="322" ht="15" customHeight="1">
      <c r="A322" t="inlineStr">
        <is>
          <t>A 55854-2022</t>
        </is>
      </c>
      <c r="B322" s="1" t="n">
        <v>44886</v>
      </c>
      <c r="C322" s="1" t="n">
        <v>45218</v>
      </c>
      <c r="D322" t="inlineStr">
        <is>
          <t>VÄSTERNORRLANDS LÄN</t>
        </is>
      </c>
      <c r="E322" t="inlineStr">
        <is>
          <t>SUNDSVALL</t>
        </is>
      </c>
      <c r="G322" t="n">
        <v>3.8</v>
      </c>
      <c r="H322" t="n">
        <v>1</v>
      </c>
      <c r="I322" t="n">
        <v>0</v>
      </c>
      <c r="J322" t="n">
        <v>1</v>
      </c>
      <c r="K322" t="n">
        <v>1</v>
      </c>
      <c r="L322" t="n">
        <v>0</v>
      </c>
      <c r="M322" t="n">
        <v>0</v>
      </c>
      <c r="N322" t="n">
        <v>0</v>
      </c>
      <c r="O322" t="n">
        <v>2</v>
      </c>
      <c r="P322" t="n">
        <v>1</v>
      </c>
      <c r="Q322" t="n">
        <v>3</v>
      </c>
      <c r="R322" s="2" t="inlineStr">
        <is>
          <t>Sanddraba
Vårstarr
Gullviva</t>
        </is>
      </c>
      <c r="S322">
        <f>HYPERLINK("https://klasma.github.io/Logging_2281/artfynd/A 55854-2022 artfynd.xlsx", "A 55854-2022")</f>
        <v/>
      </c>
      <c r="T322">
        <f>HYPERLINK("https://klasma.github.io/Logging_2281/kartor/A 55854-2022 karta.png", "A 55854-2022")</f>
        <v/>
      </c>
      <c r="V322">
        <f>HYPERLINK("https://klasma.github.io/Logging_2281/klagomål/A 55854-2022 FSC-klagomål.docx", "A 55854-2022")</f>
        <v/>
      </c>
      <c r="W322">
        <f>HYPERLINK("https://klasma.github.io/Logging_2281/klagomålsmail/A 55854-2022 FSC-klagomål mail.docx", "A 55854-2022")</f>
        <v/>
      </c>
      <c r="X322">
        <f>HYPERLINK("https://klasma.github.io/Logging_2281/tillsyn/A 55854-2022 tillsynsbegäran.docx", "A 55854-2022")</f>
        <v/>
      </c>
      <c r="Y322">
        <f>HYPERLINK("https://klasma.github.io/Logging_2281/tillsynsmail/A 55854-2022 tillsynsbegäran mail.docx", "A 55854-2022")</f>
        <v/>
      </c>
    </row>
    <row r="323" ht="15" customHeight="1">
      <c r="A323" t="inlineStr">
        <is>
          <t>A 7533-2023</t>
        </is>
      </c>
      <c r="B323" s="1" t="n">
        <v>44971</v>
      </c>
      <c r="C323" s="1" t="n">
        <v>45218</v>
      </c>
      <c r="D323" t="inlineStr">
        <is>
          <t>VÄSTERNORRLANDS LÄN</t>
        </is>
      </c>
      <c r="E323" t="inlineStr">
        <is>
          <t>ÅNGE</t>
        </is>
      </c>
      <c r="F323" t="inlineStr">
        <is>
          <t>SCA</t>
        </is>
      </c>
      <c r="G323" t="n">
        <v>15.7</v>
      </c>
      <c r="H323" t="n">
        <v>2</v>
      </c>
      <c r="I323" t="n">
        <v>0</v>
      </c>
      <c r="J323" t="n">
        <v>1</v>
      </c>
      <c r="K323" t="n">
        <v>1</v>
      </c>
      <c r="L323" t="n">
        <v>0</v>
      </c>
      <c r="M323" t="n">
        <v>0</v>
      </c>
      <c r="N323" t="n">
        <v>0</v>
      </c>
      <c r="O323" t="n">
        <v>2</v>
      </c>
      <c r="P323" t="n">
        <v>1</v>
      </c>
      <c r="Q323" t="n">
        <v>3</v>
      </c>
      <c r="R323" s="2" t="inlineStr">
        <is>
          <t>Doftticka
Lunglav
Blåsippa</t>
        </is>
      </c>
      <c r="S323">
        <f>HYPERLINK("https://klasma.github.io/Logging_2260/artfynd/A 7533-2023 artfynd.xlsx", "A 7533-2023")</f>
        <v/>
      </c>
      <c r="T323">
        <f>HYPERLINK("https://klasma.github.io/Logging_2260/kartor/A 7533-2023 karta.png", "A 7533-2023")</f>
        <v/>
      </c>
      <c r="V323">
        <f>HYPERLINK("https://klasma.github.io/Logging_2260/klagomål/A 7533-2023 FSC-klagomål.docx", "A 7533-2023")</f>
        <v/>
      </c>
      <c r="W323">
        <f>HYPERLINK("https://klasma.github.io/Logging_2260/klagomålsmail/A 7533-2023 FSC-klagomål mail.docx", "A 7533-2023")</f>
        <v/>
      </c>
      <c r="X323">
        <f>HYPERLINK("https://klasma.github.io/Logging_2260/tillsyn/A 7533-2023 tillsynsbegäran.docx", "A 7533-2023")</f>
        <v/>
      </c>
      <c r="Y323">
        <f>HYPERLINK("https://klasma.github.io/Logging_2260/tillsynsmail/A 7533-2023 tillsynsbegäran mail.docx", "A 7533-2023")</f>
        <v/>
      </c>
    </row>
    <row r="324" ht="15" customHeight="1">
      <c r="A324" t="inlineStr">
        <is>
          <t>A 8680-2023</t>
        </is>
      </c>
      <c r="B324" s="1" t="n">
        <v>44977</v>
      </c>
      <c r="C324" s="1" t="n">
        <v>45218</v>
      </c>
      <c r="D324" t="inlineStr">
        <is>
          <t>VÄSTERNORRLANDS LÄN</t>
        </is>
      </c>
      <c r="E324" t="inlineStr">
        <is>
          <t>SUNDSVALL</t>
        </is>
      </c>
      <c r="F324" t="inlineStr">
        <is>
          <t>Naturvårdsverket</t>
        </is>
      </c>
      <c r="G324" t="n">
        <v>10.1</v>
      </c>
      <c r="H324" t="n">
        <v>0</v>
      </c>
      <c r="I324" t="n">
        <v>0</v>
      </c>
      <c r="J324" t="n">
        <v>3</v>
      </c>
      <c r="K324" t="n">
        <v>0</v>
      </c>
      <c r="L324" t="n">
        <v>0</v>
      </c>
      <c r="M324" t="n">
        <v>0</v>
      </c>
      <c r="N324" t="n">
        <v>0</v>
      </c>
      <c r="O324" t="n">
        <v>3</v>
      </c>
      <c r="P324" t="n">
        <v>0</v>
      </c>
      <c r="Q324" t="n">
        <v>3</v>
      </c>
      <c r="R324" s="2" t="inlineStr">
        <is>
          <t>Dvärgbägarlav
Kolflarnlav
Ullticka</t>
        </is>
      </c>
      <c r="S324">
        <f>HYPERLINK("https://klasma.github.io/Logging_2281/artfynd/A 8680-2023 artfynd.xlsx", "A 8680-2023")</f>
        <v/>
      </c>
      <c r="T324">
        <f>HYPERLINK("https://klasma.github.io/Logging_2281/kartor/A 8680-2023 karta.png", "A 8680-2023")</f>
        <v/>
      </c>
      <c r="V324">
        <f>HYPERLINK("https://klasma.github.io/Logging_2281/klagomål/A 8680-2023 FSC-klagomål.docx", "A 8680-2023")</f>
        <v/>
      </c>
      <c r="W324">
        <f>HYPERLINK("https://klasma.github.io/Logging_2281/klagomålsmail/A 8680-2023 FSC-klagomål mail.docx", "A 8680-2023")</f>
        <v/>
      </c>
      <c r="X324">
        <f>HYPERLINK("https://klasma.github.io/Logging_2281/tillsyn/A 8680-2023 tillsynsbegäran.docx", "A 8680-2023")</f>
        <v/>
      </c>
      <c r="Y324">
        <f>HYPERLINK("https://klasma.github.io/Logging_2281/tillsynsmail/A 8680-2023 tillsynsbegäran mail.docx", "A 8680-2023")</f>
        <v/>
      </c>
    </row>
    <row r="325" ht="15" customHeight="1">
      <c r="A325" t="inlineStr">
        <is>
          <t>A 10766-2023</t>
        </is>
      </c>
      <c r="B325" s="1" t="n">
        <v>44988</v>
      </c>
      <c r="C325" s="1" t="n">
        <v>45218</v>
      </c>
      <c r="D325" t="inlineStr">
        <is>
          <t>VÄSTERNORRLANDS LÄN</t>
        </is>
      </c>
      <c r="E325" t="inlineStr">
        <is>
          <t>TIMRÅ</t>
        </is>
      </c>
      <c r="F325" t="inlineStr">
        <is>
          <t>SCA</t>
        </is>
      </c>
      <c r="G325" t="n">
        <v>15</v>
      </c>
      <c r="H325" t="n">
        <v>0</v>
      </c>
      <c r="I325" t="n">
        <v>0</v>
      </c>
      <c r="J325" t="n">
        <v>3</v>
      </c>
      <c r="K325" t="n">
        <v>0</v>
      </c>
      <c r="L325" t="n">
        <v>0</v>
      </c>
      <c r="M325" t="n">
        <v>0</v>
      </c>
      <c r="N325" t="n">
        <v>0</v>
      </c>
      <c r="O325" t="n">
        <v>3</v>
      </c>
      <c r="P325" t="n">
        <v>0</v>
      </c>
      <c r="Q325" t="n">
        <v>3</v>
      </c>
      <c r="R325" s="2" t="inlineStr">
        <is>
          <t>Garnlav
Lunglav
Ullticka</t>
        </is>
      </c>
      <c r="S325">
        <f>HYPERLINK("https://klasma.github.io/Logging_2262/artfynd/A 10766-2023 artfynd.xlsx", "A 10766-2023")</f>
        <v/>
      </c>
      <c r="T325">
        <f>HYPERLINK("https://klasma.github.io/Logging_2262/kartor/A 10766-2023 karta.png", "A 10766-2023")</f>
        <v/>
      </c>
      <c r="V325">
        <f>HYPERLINK("https://klasma.github.io/Logging_2262/klagomål/A 10766-2023 FSC-klagomål.docx", "A 10766-2023")</f>
        <v/>
      </c>
      <c r="W325">
        <f>HYPERLINK("https://klasma.github.io/Logging_2262/klagomålsmail/A 10766-2023 FSC-klagomål mail.docx", "A 10766-2023")</f>
        <v/>
      </c>
      <c r="X325">
        <f>HYPERLINK("https://klasma.github.io/Logging_2262/tillsyn/A 10766-2023 tillsynsbegäran.docx", "A 10766-2023")</f>
        <v/>
      </c>
      <c r="Y325">
        <f>HYPERLINK("https://klasma.github.io/Logging_2262/tillsynsmail/A 10766-2023 tillsynsbegäran mail.docx", "A 10766-2023")</f>
        <v/>
      </c>
    </row>
    <row r="326" ht="15" customHeight="1">
      <c r="A326" t="inlineStr">
        <is>
          <t>A 16182-2023</t>
        </is>
      </c>
      <c r="B326" s="1" t="n">
        <v>45027</v>
      </c>
      <c r="C326" s="1" t="n">
        <v>45218</v>
      </c>
      <c r="D326" t="inlineStr">
        <is>
          <t>VÄSTERNORRLANDS LÄN</t>
        </is>
      </c>
      <c r="E326" t="inlineStr">
        <is>
          <t>HÄRNÖSAND</t>
        </is>
      </c>
      <c r="G326" t="n">
        <v>16.4</v>
      </c>
      <c r="H326" t="n">
        <v>0</v>
      </c>
      <c r="I326" t="n">
        <v>0</v>
      </c>
      <c r="J326" t="n">
        <v>3</v>
      </c>
      <c r="K326" t="n">
        <v>0</v>
      </c>
      <c r="L326" t="n">
        <v>0</v>
      </c>
      <c r="M326" t="n">
        <v>0</v>
      </c>
      <c r="N326" t="n">
        <v>0</v>
      </c>
      <c r="O326" t="n">
        <v>3</v>
      </c>
      <c r="P326" t="n">
        <v>0</v>
      </c>
      <c r="Q326" t="n">
        <v>3</v>
      </c>
      <c r="R326" s="2" t="inlineStr">
        <is>
          <t>Garnlav
Lunglav
Violettgrå tagellav</t>
        </is>
      </c>
      <c r="S326">
        <f>HYPERLINK("https://klasma.github.io/Logging_2280/artfynd/A 16182-2023 artfynd.xlsx", "A 16182-2023")</f>
        <v/>
      </c>
      <c r="T326">
        <f>HYPERLINK("https://klasma.github.io/Logging_2280/kartor/A 16182-2023 karta.png", "A 16182-2023")</f>
        <v/>
      </c>
      <c r="V326">
        <f>HYPERLINK("https://klasma.github.io/Logging_2280/klagomål/A 16182-2023 FSC-klagomål.docx", "A 16182-2023")</f>
        <v/>
      </c>
      <c r="W326">
        <f>HYPERLINK("https://klasma.github.io/Logging_2280/klagomålsmail/A 16182-2023 FSC-klagomål mail.docx", "A 16182-2023")</f>
        <v/>
      </c>
      <c r="X326">
        <f>HYPERLINK("https://klasma.github.io/Logging_2280/tillsyn/A 16182-2023 tillsynsbegäran.docx", "A 16182-2023")</f>
        <v/>
      </c>
      <c r="Y326">
        <f>HYPERLINK("https://klasma.github.io/Logging_2280/tillsynsmail/A 16182-2023 tillsynsbegäran mail.docx", "A 16182-2023")</f>
        <v/>
      </c>
    </row>
    <row r="327" ht="15" customHeight="1">
      <c r="A327" t="inlineStr">
        <is>
          <t>A 16377-2023</t>
        </is>
      </c>
      <c r="B327" s="1" t="n">
        <v>45028</v>
      </c>
      <c r="C327" s="1" t="n">
        <v>45218</v>
      </c>
      <c r="D327" t="inlineStr">
        <is>
          <t>VÄSTERNORRLANDS LÄN</t>
        </is>
      </c>
      <c r="E327" t="inlineStr">
        <is>
          <t>SUNDSVALL</t>
        </is>
      </c>
      <c r="F327" t="inlineStr">
        <is>
          <t>SCA</t>
        </is>
      </c>
      <c r="G327" t="n">
        <v>4.9</v>
      </c>
      <c r="H327" t="n">
        <v>1</v>
      </c>
      <c r="I327" t="n">
        <v>2</v>
      </c>
      <c r="J327" t="n">
        <v>1</v>
      </c>
      <c r="K327" t="n">
        <v>0</v>
      </c>
      <c r="L327" t="n">
        <v>0</v>
      </c>
      <c r="M327" t="n">
        <v>0</v>
      </c>
      <c r="N327" t="n">
        <v>0</v>
      </c>
      <c r="O327" t="n">
        <v>1</v>
      </c>
      <c r="P327" t="n">
        <v>0</v>
      </c>
      <c r="Q327" t="n">
        <v>3</v>
      </c>
      <c r="R327" s="2" t="inlineStr">
        <is>
          <t>Lunglav
Plattlummer
Skinnlav</t>
        </is>
      </c>
      <c r="S327">
        <f>HYPERLINK("https://klasma.github.io/Logging_2281/artfynd/A 16377-2023 artfynd.xlsx", "A 16377-2023")</f>
        <v/>
      </c>
      <c r="T327">
        <f>HYPERLINK("https://klasma.github.io/Logging_2281/kartor/A 16377-2023 karta.png", "A 16377-2023")</f>
        <v/>
      </c>
      <c r="V327">
        <f>HYPERLINK("https://klasma.github.io/Logging_2281/klagomål/A 16377-2023 FSC-klagomål.docx", "A 16377-2023")</f>
        <v/>
      </c>
      <c r="W327">
        <f>HYPERLINK("https://klasma.github.io/Logging_2281/klagomålsmail/A 16377-2023 FSC-klagomål mail.docx", "A 16377-2023")</f>
        <v/>
      </c>
      <c r="X327">
        <f>HYPERLINK("https://klasma.github.io/Logging_2281/tillsyn/A 16377-2023 tillsynsbegäran.docx", "A 16377-2023")</f>
        <v/>
      </c>
      <c r="Y327">
        <f>HYPERLINK("https://klasma.github.io/Logging_2281/tillsynsmail/A 16377-2023 tillsynsbegäran mail.docx", "A 16377-2023")</f>
        <v/>
      </c>
    </row>
    <row r="328" ht="15" customHeight="1">
      <c r="A328" t="inlineStr">
        <is>
          <t>A 17217-2023</t>
        </is>
      </c>
      <c r="B328" s="1" t="n">
        <v>45034</v>
      </c>
      <c r="C328" s="1" t="n">
        <v>45218</v>
      </c>
      <c r="D328" t="inlineStr">
        <is>
          <t>VÄSTERNORRLANDS LÄN</t>
        </is>
      </c>
      <c r="E328" t="inlineStr">
        <is>
          <t>TIMRÅ</t>
        </is>
      </c>
      <c r="F328" t="inlineStr">
        <is>
          <t>SCA</t>
        </is>
      </c>
      <c r="G328" t="n">
        <v>5.1</v>
      </c>
      <c r="H328" t="n">
        <v>0</v>
      </c>
      <c r="I328" t="n">
        <v>0</v>
      </c>
      <c r="J328" t="n">
        <v>3</v>
      </c>
      <c r="K328" t="n">
        <v>0</v>
      </c>
      <c r="L328" t="n">
        <v>0</v>
      </c>
      <c r="M328" t="n">
        <v>0</v>
      </c>
      <c r="N328" t="n">
        <v>0</v>
      </c>
      <c r="O328" t="n">
        <v>3</v>
      </c>
      <c r="P328" t="n">
        <v>0</v>
      </c>
      <c r="Q328" t="n">
        <v>3</v>
      </c>
      <c r="R328" s="2" t="inlineStr">
        <is>
          <t>Garnlav
Lunglav
Vedflamlav</t>
        </is>
      </c>
      <c r="S328">
        <f>HYPERLINK("https://klasma.github.io/Logging_2262/artfynd/A 17217-2023 artfynd.xlsx", "A 17217-2023")</f>
        <v/>
      </c>
      <c r="T328">
        <f>HYPERLINK("https://klasma.github.io/Logging_2262/kartor/A 17217-2023 karta.png", "A 17217-2023")</f>
        <v/>
      </c>
      <c r="V328">
        <f>HYPERLINK("https://klasma.github.io/Logging_2262/klagomål/A 17217-2023 FSC-klagomål.docx", "A 17217-2023")</f>
        <v/>
      </c>
      <c r="W328">
        <f>HYPERLINK("https://klasma.github.io/Logging_2262/klagomålsmail/A 17217-2023 FSC-klagomål mail.docx", "A 17217-2023")</f>
        <v/>
      </c>
      <c r="X328">
        <f>HYPERLINK("https://klasma.github.io/Logging_2262/tillsyn/A 17217-2023 tillsynsbegäran.docx", "A 17217-2023")</f>
        <v/>
      </c>
      <c r="Y328">
        <f>HYPERLINK("https://klasma.github.io/Logging_2262/tillsynsmail/A 17217-2023 tillsynsbegäran mail.docx", "A 17217-2023")</f>
        <v/>
      </c>
    </row>
    <row r="329" ht="15" customHeight="1">
      <c r="A329" t="inlineStr">
        <is>
          <t>A 18765-2023</t>
        </is>
      </c>
      <c r="B329" s="1" t="n">
        <v>45043</v>
      </c>
      <c r="C329" s="1" t="n">
        <v>45218</v>
      </c>
      <c r="D329" t="inlineStr">
        <is>
          <t>VÄSTERNORRLANDS LÄN</t>
        </is>
      </c>
      <c r="E329" t="inlineStr">
        <is>
          <t>HÄRNÖSAND</t>
        </is>
      </c>
      <c r="F329" t="inlineStr">
        <is>
          <t>SCA</t>
        </is>
      </c>
      <c r="G329" t="n">
        <v>22</v>
      </c>
      <c r="H329" t="n">
        <v>0</v>
      </c>
      <c r="I329" t="n">
        <v>1</v>
      </c>
      <c r="J329" t="n">
        <v>2</v>
      </c>
      <c r="K329" t="n">
        <v>0</v>
      </c>
      <c r="L329" t="n">
        <v>0</v>
      </c>
      <c r="M329" t="n">
        <v>0</v>
      </c>
      <c r="N329" t="n">
        <v>0</v>
      </c>
      <c r="O329" t="n">
        <v>2</v>
      </c>
      <c r="P329" t="n">
        <v>0</v>
      </c>
      <c r="Q329" t="n">
        <v>3</v>
      </c>
      <c r="R329" s="2" t="inlineStr">
        <is>
          <t>Garnlav
Lunglav
Stuplav</t>
        </is>
      </c>
      <c r="S329">
        <f>HYPERLINK("https://klasma.github.io/Logging_2280/artfynd/A 18765-2023 artfynd.xlsx", "A 18765-2023")</f>
        <v/>
      </c>
      <c r="T329">
        <f>HYPERLINK("https://klasma.github.io/Logging_2280/kartor/A 18765-2023 karta.png", "A 18765-2023")</f>
        <v/>
      </c>
      <c r="V329">
        <f>HYPERLINK("https://klasma.github.io/Logging_2280/klagomål/A 18765-2023 FSC-klagomål.docx", "A 18765-2023")</f>
        <v/>
      </c>
      <c r="W329">
        <f>HYPERLINK("https://klasma.github.io/Logging_2280/klagomålsmail/A 18765-2023 FSC-klagomål mail.docx", "A 18765-2023")</f>
        <v/>
      </c>
      <c r="X329">
        <f>HYPERLINK("https://klasma.github.io/Logging_2280/tillsyn/A 18765-2023 tillsynsbegäran.docx", "A 18765-2023")</f>
        <v/>
      </c>
      <c r="Y329">
        <f>HYPERLINK("https://klasma.github.io/Logging_2280/tillsynsmail/A 18765-2023 tillsynsbegäran mail.docx", "A 18765-2023")</f>
        <v/>
      </c>
    </row>
    <row r="330" ht="15" customHeight="1">
      <c r="A330" t="inlineStr">
        <is>
          <t>A 20651-2023</t>
        </is>
      </c>
      <c r="B330" s="1" t="n">
        <v>45058</v>
      </c>
      <c r="C330" s="1" t="n">
        <v>45218</v>
      </c>
      <c r="D330" t="inlineStr">
        <is>
          <t>VÄSTERNORRLANDS LÄN</t>
        </is>
      </c>
      <c r="E330" t="inlineStr">
        <is>
          <t>ÖRNSKÖLDSVIK</t>
        </is>
      </c>
      <c r="F330" t="inlineStr">
        <is>
          <t>Holmen skog AB</t>
        </is>
      </c>
      <c r="G330" t="n">
        <v>2.1</v>
      </c>
      <c r="H330" t="n">
        <v>0</v>
      </c>
      <c r="I330" t="n">
        <v>1</v>
      </c>
      <c r="J330" t="n">
        <v>2</v>
      </c>
      <c r="K330" t="n">
        <v>0</v>
      </c>
      <c r="L330" t="n">
        <v>0</v>
      </c>
      <c r="M330" t="n">
        <v>0</v>
      </c>
      <c r="N330" t="n">
        <v>0</v>
      </c>
      <c r="O330" t="n">
        <v>2</v>
      </c>
      <c r="P330" t="n">
        <v>0</v>
      </c>
      <c r="Q330" t="n">
        <v>3</v>
      </c>
      <c r="R330" s="2" t="inlineStr">
        <is>
          <t>Brunpudrad nållav
Garnlav
Gulnål</t>
        </is>
      </c>
      <c r="S330">
        <f>HYPERLINK("https://klasma.github.io/Logging_2284/artfynd/A 20651-2023 artfynd.xlsx", "A 20651-2023")</f>
        <v/>
      </c>
      <c r="T330">
        <f>HYPERLINK("https://klasma.github.io/Logging_2284/kartor/A 20651-2023 karta.png", "A 20651-2023")</f>
        <v/>
      </c>
      <c r="V330">
        <f>HYPERLINK("https://klasma.github.io/Logging_2284/klagomål/A 20651-2023 FSC-klagomål.docx", "A 20651-2023")</f>
        <v/>
      </c>
      <c r="W330">
        <f>HYPERLINK("https://klasma.github.io/Logging_2284/klagomålsmail/A 20651-2023 FSC-klagomål mail.docx", "A 20651-2023")</f>
        <v/>
      </c>
      <c r="X330">
        <f>HYPERLINK("https://klasma.github.io/Logging_2284/tillsyn/A 20651-2023 tillsynsbegäran.docx", "A 20651-2023")</f>
        <v/>
      </c>
      <c r="Y330">
        <f>HYPERLINK("https://klasma.github.io/Logging_2284/tillsynsmail/A 20651-2023 tillsynsbegäran mail.docx", "A 20651-2023")</f>
        <v/>
      </c>
    </row>
    <row r="331" ht="15" customHeight="1">
      <c r="A331" t="inlineStr">
        <is>
          <t>A 20781-2023</t>
        </is>
      </c>
      <c r="B331" s="1" t="n">
        <v>45058</v>
      </c>
      <c r="C331" s="1" t="n">
        <v>45218</v>
      </c>
      <c r="D331" t="inlineStr">
        <is>
          <t>VÄSTERNORRLANDS LÄN</t>
        </is>
      </c>
      <c r="E331" t="inlineStr">
        <is>
          <t>SOLLEFTEÅ</t>
        </is>
      </c>
      <c r="F331" t="inlineStr">
        <is>
          <t>Kyrkan</t>
        </is>
      </c>
      <c r="G331" t="n">
        <v>11.1</v>
      </c>
      <c r="H331" t="n">
        <v>1</v>
      </c>
      <c r="I331" t="n">
        <v>0</v>
      </c>
      <c r="J331" t="n">
        <v>2</v>
      </c>
      <c r="K331" t="n">
        <v>1</v>
      </c>
      <c r="L331" t="n">
        <v>0</v>
      </c>
      <c r="M331" t="n">
        <v>0</v>
      </c>
      <c r="N331" t="n">
        <v>0</v>
      </c>
      <c r="O331" t="n">
        <v>3</v>
      </c>
      <c r="P331" t="n">
        <v>1</v>
      </c>
      <c r="Q331" t="n">
        <v>3</v>
      </c>
      <c r="R331" s="2" t="inlineStr">
        <is>
          <t>Knärot
Garnlav
Ullticka</t>
        </is>
      </c>
      <c r="S331">
        <f>HYPERLINK("https://klasma.github.io/Logging_2283/artfynd/A 20781-2023 artfynd.xlsx", "A 20781-2023")</f>
        <v/>
      </c>
      <c r="T331">
        <f>HYPERLINK("https://klasma.github.io/Logging_2283/kartor/A 20781-2023 karta.png", "A 20781-2023")</f>
        <v/>
      </c>
      <c r="U331">
        <f>HYPERLINK("https://klasma.github.io/Logging_2283/knärot/A 20781-2023 karta knärot.png", "A 20781-2023")</f>
        <v/>
      </c>
      <c r="V331">
        <f>HYPERLINK("https://klasma.github.io/Logging_2283/klagomål/A 20781-2023 FSC-klagomål.docx", "A 20781-2023")</f>
        <v/>
      </c>
      <c r="W331">
        <f>HYPERLINK("https://klasma.github.io/Logging_2283/klagomålsmail/A 20781-2023 FSC-klagomål mail.docx", "A 20781-2023")</f>
        <v/>
      </c>
      <c r="X331">
        <f>HYPERLINK("https://klasma.github.io/Logging_2283/tillsyn/A 20781-2023 tillsynsbegäran.docx", "A 20781-2023")</f>
        <v/>
      </c>
      <c r="Y331">
        <f>HYPERLINK("https://klasma.github.io/Logging_2283/tillsynsmail/A 20781-2023 tillsynsbegäran mail.docx", "A 20781-2023")</f>
        <v/>
      </c>
    </row>
    <row r="332" ht="15" customHeight="1">
      <c r="A332" t="inlineStr">
        <is>
          <t>A 21342-2023</t>
        </is>
      </c>
      <c r="B332" s="1" t="n">
        <v>45062</v>
      </c>
      <c r="C332" s="1" t="n">
        <v>45218</v>
      </c>
      <c r="D332" t="inlineStr">
        <is>
          <t>VÄSTERNORRLANDS LÄN</t>
        </is>
      </c>
      <c r="E332" t="inlineStr">
        <is>
          <t>SOLLEFTEÅ</t>
        </is>
      </c>
      <c r="F332" t="inlineStr">
        <is>
          <t>SCA</t>
        </is>
      </c>
      <c r="G332" t="n">
        <v>4.3</v>
      </c>
      <c r="H332" t="n">
        <v>1</v>
      </c>
      <c r="I332" t="n">
        <v>1</v>
      </c>
      <c r="J332" t="n">
        <v>2</v>
      </c>
      <c r="K332" t="n">
        <v>0</v>
      </c>
      <c r="L332" t="n">
        <v>0</v>
      </c>
      <c r="M332" t="n">
        <v>0</v>
      </c>
      <c r="N332" t="n">
        <v>0</v>
      </c>
      <c r="O332" t="n">
        <v>2</v>
      </c>
      <c r="P332" t="n">
        <v>0</v>
      </c>
      <c r="Q332" t="n">
        <v>3</v>
      </c>
      <c r="R332" s="2" t="inlineStr">
        <is>
          <t>Dvärgbägarlav
Kolflarnlav
Plattlummer</t>
        </is>
      </c>
      <c r="S332">
        <f>HYPERLINK("https://klasma.github.io/Logging_2283/artfynd/A 21342-2023 artfynd.xlsx", "A 21342-2023")</f>
        <v/>
      </c>
      <c r="T332">
        <f>HYPERLINK("https://klasma.github.io/Logging_2283/kartor/A 21342-2023 karta.png", "A 21342-2023")</f>
        <v/>
      </c>
      <c r="V332">
        <f>HYPERLINK("https://klasma.github.io/Logging_2283/klagomål/A 21342-2023 FSC-klagomål.docx", "A 21342-2023")</f>
        <v/>
      </c>
      <c r="W332">
        <f>HYPERLINK("https://klasma.github.io/Logging_2283/klagomålsmail/A 21342-2023 FSC-klagomål mail.docx", "A 21342-2023")</f>
        <v/>
      </c>
      <c r="X332">
        <f>HYPERLINK("https://klasma.github.io/Logging_2283/tillsyn/A 21342-2023 tillsynsbegäran.docx", "A 21342-2023")</f>
        <v/>
      </c>
      <c r="Y332">
        <f>HYPERLINK("https://klasma.github.io/Logging_2283/tillsynsmail/A 21342-2023 tillsynsbegäran mail.docx", "A 21342-2023")</f>
        <v/>
      </c>
    </row>
    <row r="333" ht="15" customHeight="1">
      <c r="A333" t="inlineStr">
        <is>
          <t>A 21343-2023</t>
        </is>
      </c>
      <c r="B333" s="1" t="n">
        <v>45062</v>
      </c>
      <c r="C333" s="1" t="n">
        <v>45218</v>
      </c>
      <c r="D333" t="inlineStr">
        <is>
          <t>VÄSTERNORRLANDS LÄN</t>
        </is>
      </c>
      <c r="E333" t="inlineStr">
        <is>
          <t>SOLLEFTEÅ</t>
        </is>
      </c>
      <c r="F333" t="inlineStr">
        <is>
          <t>SCA</t>
        </is>
      </c>
      <c r="G333" t="n">
        <v>4.8</v>
      </c>
      <c r="H333" t="n">
        <v>0</v>
      </c>
      <c r="I333" t="n">
        <v>0</v>
      </c>
      <c r="J333" t="n">
        <v>3</v>
      </c>
      <c r="K333" t="n">
        <v>0</v>
      </c>
      <c r="L333" t="n">
        <v>0</v>
      </c>
      <c r="M333" t="n">
        <v>0</v>
      </c>
      <c r="N333" t="n">
        <v>0</v>
      </c>
      <c r="O333" t="n">
        <v>3</v>
      </c>
      <c r="P333" t="n">
        <v>0</v>
      </c>
      <c r="Q333" t="n">
        <v>3</v>
      </c>
      <c r="R333" s="2" t="inlineStr">
        <is>
          <t>Garnlav
Kolflarnlav
Vedskivlav</t>
        </is>
      </c>
      <c r="S333">
        <f>HYPERLINK("https://klasma.github.io/Logging_2283/artfynd/A 21343-2023 artfynd.xlsx", "A 21343-2023")</f>
        <v/>
      </c>
      <c r="T333">
        <f>HYPERLINK("https://klasma.github.io/Logging_2283/kartor/A 21343-2023 karta.png", "A 21343-2023")</f>
        <v/>
      </c>
      <c r="V333">
        <f>HYPERLINK("https://klasma.github.io/Logging_2283/klagomål/A 21343-2023 FSC-klagomål.docx", "A 21343-2023")</f>
        <v/>
      </c>
      <c r="W333">
        <f>HYPERLINK("https://klasma.github.io/Logging_2283/klagomålsmail/A 21343-2023 FSC-klagomål mail.docx", "A 21343-2023")</f>
        <v/>
      </c>
      <c r="X333">
        <f>HYPERLINK("https://klasma.github.io/Logging_2283/tillsyn/A 21343-2023 tillsynsbegäran.docx", "A 21343-2023")</f>
        <v/>
      </c>
      <c r="Y333">
        <f>HYPERLINK("https://klasma.github.io/Logging_2283/tillsynsmail/A 21343-2023 tillsynsbegäran mail.docx", "A 21343-2023")</f>
        <v/>
      </c>
    </row>
    <row r="334" ht="15" customHeight="1">
      <c r="A334" t="inlineStr">
        <is>
          <t>A 22996-2023</t>
        </is>
      </c>
      <c r="B334" s="1" t="n">
        <v>45072</v>
      </c>
      <c r="C334" s="1" t="n">
        <v>45218</v>
      </c>
      <c r="D334" t="inlineStr">
        <is>
          <t>VÄSTERNORRLANDS LÄN</t>
        </is>
      </c>
      <c r="E334" t="inlineStr">
        <is>
          <t>ÅNGE</t>
        </is>
      </c>
      <c r="F334" t="inlineStr">
        <is>
          <t>SCA</t>
        </is>
      </c>
      <c r="G334" t="n">
        <v>2.2</v>
      </c>
      <c r="H334" t="n">
        <v>1</v>
      </c>
      <c r="I334" t="n">
        <v>0</v>
      </c>
      <c r="J334" t="n">
        <v>2</v>
      </c>
      <c r="K334" t="n">
        <v>1</v>
      </c>
      <c r="L334" t="n">
        <v>0</v>
      </c>
      <c r="M334" t="n">
        <v>0</v>
      </c>
      <c r="N334" t="n">
        <v>0</v>
      </c>
      <c r="O334" t="n">
        <v>3</v>
      </c>
      <c r="P334" t="n">
        <v>1</v>
      </c>
      <c r="Q334" t="n">
        <v>3</v>
      </c>
      <c r="R334" s="2" t="inlineStr">
        <is>
          <t>Knärot
Garnlav
Vedtrappmossa</t>
        </is>
      </c>
      <c r="S334">
        <f>HYPERLINK("https://klasma.github.io/Logging_2260/artfynd/A 22996-2023 artfynd.xlsx", "A 22996-2023")</f>
        <v/>
      </c>
      <c r="T334">
        <f>HYPERLINK("https://klasma.github.io/Logging_2260/kartor/A 22996-2023 karta.png", "A 22996-2023")</f>
        <v/>
      </c>
      <c r="U334">
        <f>HYPERLINK("https://klasma.github.io/Logging_2260/knärot/A 22996-2023 karta knärot.png", "A 22996-2023")</f>
        <v/>
      </c>
      <c r="V334">
        <f>HYPERLINK("https://klasma.github.io/Logging_2260/klagomål/A 22996-2023 FSC-klagomål.docx", "A 22996-2023")</f>
        <v/>
      </c>
      <c r="W334">
        <f>HYPERLINK("https://klasma.github.io/Logging_2260/klagomålsmail/A 22996-2023 FSC-klagomål mail.docx", "A 22996-2023")</f>
        <v/>
      </c>
      <c r="X334">
        <f>HYPERLINK("https://klasma.github.io/Logging_2260/tillsyn/A 22996-2023 tillsynsbegäran.docx", "A 22996-2023")</f>
        <v/>
      </c>
      <c r="Y334">
        <f>HYPERLINK("https://klasma.github.io/Logging_2260/tillsynsmail/A 22996-2023 tillsynsbegäran mail.docx", "A 22996-2023")</f>
        <v/>
      </c>
    </row>
    <row r="335" ht="15" customHeight="1">
      <c r="A335" t="inlineStr">
        <is>
          <t>A 23782-2023</t>
        </is>
      </c>
      <c r="B335" s="1" t="n">
        <v>45077</v>
      </c>
      <c r="C335" s="1" t="n">
        <v>45218</v>
      </c>
      <c r="D335" t="inlineStr">
        <is>
          <t>VÄSTERNORRLANDS LÄN</t>
        </is>
      </c>
      <c r="E335" t="inlineStr">
        <is>
          <t>SOLLEFTEÅ</t>
        </is>
      </c>
      <c r="F335" t="inlineStr">
        <is>
          <t>SCA</t>
        </is>
      </c>
      <c r="G335" t="n">
        <v>6.3</v>
      </c>
      <c r="H335" t="n">
        <v>0</v>
      </c>
      <c r="I335" t="n">
        <v>2</v>
      </c>
      <c r="J335" t="n">
        <v>1</v>
      </c>
      <c r="K335" t="n">
        <v>0</v>
      </c>
      <c r="L335" t="n">
        <v>0</v>
      </c>
      <c r="M335" t="n">
        <v>0</v>
      </c>
      <c r="N335" t="n">
        <v>0</v>
      </c>
      <c r="O335" t="n">
        <v>1</v>
      </c>
      <c r="P335" t="n">
        <v>0</v>
      </c>
      <c r="Q335" t="n">
        <v>3</v>
      </c>
      <c r="R335" s="2" t="inlineStr">
        <is>
          <t>Garnlav
Bollvitmossa
Norrlandslav</t>
        </is>
      </c>
      <c r="S335">
        <f>HYPERLINK("https://klasma.github.io/Logging_2283/artfynd/A 23782-2023 artfynd.xlsx", "A 23782-2023")</f>
        <v/>
      </c>
      <c r="T335">
        <f>HYPERLINK("https://klasma.github.io/Logging_2283/kartor/A 23782-2023 karta.png", "A 23782-2023")</f>
        <v/>
      </c>
      <c r="V335">
        <f>HYPERLINK("https://klasma.github.io/Logging_2283/klagomål/A 23782-2023 FSC-klagomål.docx", "A 23782-2023")</f>
        <v/>
      </c>
      <c r="W335">
        <f>HYPERLINK("https://klasma.github.io/Logging_2283/klagomålsmail/A 23782-2023 FSC-klagomål mail.docx", "A 23782-2023")</f>
        <v/>
      </c>
      <c r="X335">
        <f>HYPERLINK("https://klasma.github.io/Logging_2283/tillsyn/A 23782-2023 tillsynsbegäran.docx", "A 23782-2023")</f>
        <v/>
      </c>
      <c r="Y335">
        <f>HYPERLINK("https://klasma.github.io/Logging_2283/tillsynsmail/A 23782-2023 tillsynsbegäran mail.docx", "A 23782-2023")</f>
        <v/>
      </c>
    </row>
    <row r="336" ht="15" customHeight="1">
      <c r="A336" t="inlineStr">
        <is>
          <t>A 24051-2023</t>
        </is>
      </c>
      <c r="B336" s="1" t="n">
        <v>45078</v>
      </c>
      <c r="C336" s="1" t="n">
        <v>45218</v>
      </c>
      <c r="D336" t="inlineStr">
        <is>
          <t>VÄSTERNORRLANDS LÄN</t>
        </is>
      </c>
      <c r="E336" t="inlineStr">
        <is>
          <t>SUNDSVALL</t>
        </is>
      </c>
      <c r="G336" t="n">
        <v>7.5</v>
      </c>
      <c r="H336" t="n">
        <v>2</v>
      </c>
      <c r="I336" t="n">
        <v>0</v>
      </c>
      <c r="J336" t="n">
        <v>1</v>
      </c>
      <c r="K336" t="n">
        <v>1</v>
      </c>
      <c r="L336" t="n">
        <v>0</v>
      </c>
      <c r="M336" t="n">
        <v>0</v>
      </c>
      <c r="N336" t="n">
        <v>0</v>
      </c>
      <c r="O336" t="n">
        <v>2</v>
      </c>
      <c r="P336" t="n">
        <v>1</v>
      </c>
      <c r="Q336" t="n">
        <v>3</v>
      </c>
      <c r="R336" s="2" t="inlineStr">
        <is>
          <t>Knärot
Garnlav
Nattviol</t>
        </is>
      </c>
      <c r="S336">
        <f>HYPERLINK("https://klasma.github.io/Logging_2281/artfynd/A 24051-2023 artfynd.xlsx", "A 24051-2023")</f>
        <v/>
      </c>
      <c r="T336">
        <f>HYPERLINK("https://klasma.github.io/Logging_2281/kartor/A 24051-2023 karta.png", "A 24051-2023")</f>
        <v/>
      </c>
      <c r="U336">
        <f>HYPERLINK("https://klasma.github.io/Logging_2281/knärot/A 24051-2023 karta knärot.png", "A 24051-2023")</f>
        <v/>
      </c>
      <c r="V336">
        <f>HYPERLINK("https://klasma.github.io/Logging_2281/klagomål/A 24051-2023 FSC-klagomål.docx", "A 24051-2023")</f>
        <v/>
      </c>
      <c r="W336">
        <f>HYPERLINK("https://klasma.github.io/Logging_2281/klagomålsmail/A 24051-2023 FSC-klagomål mail.docx", "A 24051-2023")</f>
        <v/>
      </c>
      <c r="X336">
        <f>HYPERLINK("https://klasma.github.io/Logging_2281/tillsyn/A 24051-2023 tillsynsbegäran.docx", "A 24051-2023")</f>
        <v/>
      </c>
      <c r="Y336">
        <f>HYPERLINK("https://klasma.github.io/Logging_2281/tillsynsmail/A 24051-2023 tillsynsbegäran mail.docx", "A 24051-2023")</f>
        <v/>
      </c>
    </row>
    <row r="337" ht="15" customHeight="1">
      <c r="A337" t="inlineStr">
        <is>
          <t>A 26007-2023</t>
        </is>
      </c>
      <c r="B337" s="1" t="n">
        <v>45090</v>
      </c>
      <c r="C337" s="1" t="n">
        <v>45218</v>
      </c>
      <c r="D337" t="inlineStr">
        <is>
          <t>VÄSTERNORRLANDS LÄN</t>
        </is>
      </c>
      <c r="E337" t="inlineStr">
        <is>
          <t>HÄRNÖSAND</t>
        </is>
      </c>
      <c r="F337" t="inlineStr">
        <is>
          <t>SCA</t>
        </is>
      </c>
      <c r="G337" t="n">
        <v>14.3</v>
      </c>
      <c r="H337" t="n">
        <v>0</v>
      </c>
      <c r="I337" t="n">
        <v>1</v>
      </c>
      <c r="J337" t="n">
        <v>2</v>
      </c>
      <c r="K337" t="n">
        <v>0</v>
      </c>
      <c r="L337" t="n">
        <v>0</v>
      </c>
      <c r="M337" t="n">
        <v>0</v>
      </c>
      <c r="N337" t="n">
        <v>0</v>
      </c>
      <c r="O337" t="n">
        <v>2</v>
      </c>
      <c r="P337" t="n">
        <v>0</v>
      </c>
      <c r="Q337" t="n">
        <v>3</v>
      </c>
      <c r="R337" s="2" t="inlineStr">
        <is>
          <t>Garnlav
Ullticka
Vedticka</t>
        </is>
      </c>
      <c r="S337">
        <f>HYPERLINK("https://klasma.github.io/Logging_2280/artfynd/A 26007-2023 artfynd.xlsx", "A 26007-2023")</f>
        <v/>
      </c>
      <c r="T337">
        <f>HYPERLINK("https://klasma.github.io/Logging_2280/kartor/A 26007-2023 karta.png", "A 26007-2023")</f>
        <v/>
      </c>
      <c r="V337">
        <f>HYPERLINK("https://klasma.github.io/Logging_2280/klagomål/A 26007-2023 FSC-klagomål.docx", "A 26007-2023")</f>
        <v/>
      </c>
      <c r="W337">
        <f>HYPERLINK("https://klasma.github.io/Logging_2280/klagomålsmail/A 26007-2023 FSC-klagomål mail.docx", "A 26007-2023")</f>
        <v/>
      </c>
      <c r="X337">
        <f>HYPERLINK("https://klasma.github.io/Logging_2280/tillsyn/A 26007-2023 tillsynsbegäran.docx", "A 26007-2023")</f>
        <v/>
      </c>
      <c r="Y337">
        <f>HYPERLINK("https://klasma.github.io/Logging_2280/tillsynsmail/A 26007-2023 tillsynsbegäran mail.docx", "A 26007-2023")</f>
        <v/>
      </c>
    </row>
    <row r="338" ht="15" customHeight="1">
      <c r="A338" t="inlineStr">
        <is>
          <t>A 26151-2023</t>
        </is>
      </c>
      <c r="B338" s="1" t="n">
        <v>45091</v>
      </c>
      <c r="C338" s="1" t="n">
        <v>45218</v>
      </c>
      <c r="D338" t="inlineStr">
        <is>
          <t>VÄSTERNORRLANDS LÄN</t>
        </is>
      </c>
      <c r="E338" t="inlineStr">
        <is>
          <t>ÖRNSKÖLDSVIK</t>
        </is>
      </c>
      <c r="F338" t="inlineStr">
        <is>
          <t>Holmen skog AB</t>
        </is>
      </c>
      <c r="G338" t="n">
        <v>4.6</v>
      </c>
      <c r="H338" t="n">
        <v>1</v>
      </c>
      <c r="I338" t="n">
        <v>1</v>
      </c>
      <c r="J338" t="n">
        <v>1</v>
      </c>
      <c r="K338" t="n">
        <v>1</v>
      </c>
      <c r="L338" t="n">
        <v>0</v>
      </c>
      <c r="M338" t="n">
        <v>0</v>
      </c>
      <c r="N338" t="n">
        <v>0</v>
      </c>
      <c r="O338" t="n">
        <v>2</v>
      </c>
      <c r="P338" t="n">
        <v>1</v>
      </c>
      <c r="Q338" t="n">
        <v>3</v>
      </c>
      <c r="R338" s="2" t="inlineStr">
        <is>
          <t>Rynkskinn
Garnlav
Plattlummer</t>
        </is>
      </c>
      <c r="S338">
        <f>HYPERLINK("https://klasma.github.io/Logging_2284/artfynd/A 26151-2023 artfynd.xlsx", "A 26151-2023")</f>
        <v/>
      </c>
      <c r="T338">
        <f>HYPERLINK("https://klasma.github.io/Logging_2284/kartor/A 26151-2023 karta.png", "A 26151-2023")</f>
        <v/>
      </c>
      <c r="V338">
        <f>HYPERLINK("https://klasma.github.io/Logging_2284/klagomål/A 26151-2023 FSC-klagomål.docx", "A 26151-2023")</f>
        <v/>
      </c>
      <c r="W338">
        <f>HYPERLINK("https://klasma.github.io/Logging_2284/klagomålsmail/A 26151-2023 FSC-klagomål mail.docx", "A 26151-2023")</f>
        <v/>
      </c>
      <c r="X338">
        <f>HYPERLINK("https://klasma.github.io/Logging_2284/tillsyn/A 26151-2023 tillsynsbegäran.docx", "A 26151-2023")</f>
        <v/>
      </c>
      <c r="Y338">
        <f>HYPERLINK("https://klasma.github.io/Logging_2284/tillsynsmail/A 26151-2023 tillsynsbegäran mail.docx", "A 26151-2023")</f>
        <v/>
      </c>
    </row>
    <row r="339" ht="15" customHeight="1">
      <c r="A339" t="inlineStr">
        <is>
          <t>A 26361-2023</t>
        </is>
      </c>
      <c r="B339" s="1" t="n">
        <v>45091</v>
      </c>
      <c r="C339" s="1" t="n">
        <v>45218</v>
      </c>
      <c r="D339" t="inlineStr">
        <is>
          <t>VÄSTERNORRLANDS LÄN</t>
        </is>
      </c>
      <c r="E339" t="inlineStr">
        <is>
          <t>ÅNGE</t>
        </is>
      </c>
      <c r="F339" t="inlineStr">
        <is>
          <t>SCA</t>
        </is>
      </c>
      <c r="G339" t="n">
        <v>5.5</v>
      </c>
      <c r="H339" t="n">
        <v>1</v>
      </c>
      <c r="I339" t="n">
        <v>0</v>
      </c>
      <c r="J339" t="n">
        <v>2</v>
      </c>
      <c r="K339" t="n">
        <v>1</v>
      </c>
      <c r="L339" t="n">
        <v>0</v>
      </c>
      <c r="M339" t="n">
        <v>0</v>
      </c>
      <c r="N339" t="n">
        <v>0</v>
      </c>
      <c r="O339" t="n">
        <v>3</v>
      </c>
      <c r="P339" t="n">
        <v>1</v>
      </c>
      <c r="Q339" t="n">
        <v>3</v>
      </c>
      <c r="R339" s="2" t="inlineStr">
        <is>
          <t>Knärot
Garnlav
Lunglav</t>
        </is>
      </c>
      <c r="S339">
        <f>HYPERLINK("https://klasma.github.io/Logging_2260/artfynd/A 26361-2023 artfynd.xlsx", "A 26361-2023")</f>
        <v/>
      </c>
      <c r="T339">
        <f>HYPERLINK("https://klasma.github.io/Logging_2260/kartor/A 26361-2023 karta.png", "A 26361-2023")</f>
        <v/>
      </c>
      <c r="U339">
        <f>HYPERLINK("https://klasma.github.io/Logging_2260/knärot/A 26361-2023 karta knärot.png", "A 26361-2023")</f>
        <v/>
      </c>
      <c r="V339">
        <f>HYPERLINK("https://klasma.github.io/Logging_2260/klagomål/A 26361-2023 FSC-klagomål.docx", "A 26361-2023")</f>
        <v/>
      </c>
      <c r="W339">
        <f>HYPERLINK("https://klasma.github.io/Logging_2260/klagomålsmail/A 26361-2023 FSC-klagomål mail.docx", "A 26361-2023")</f>
        <v/>
      </c>
      <c r="X339">
        <f>HYPERLINK("https://klasma.github.io/Logging_2260/tillsyn/A 26361-2023 tillsynsbegäran.docx", "A 26361-2023")</f>
        <v/>
      </c>
      <c r="Y339">
        <f>HYPERLINK("https://klasma.github.io/Logging_2260/tillsynsmail/A 26361-2023 tillsynsbegäran mail.docx", "A 26361-2023")</f>
        <v/>
      </c>
    </row>
    <row r="340" ht="15" customHeight="1">
      <c r="A340" t="inlineStr">
        <is>
          <t>A 27390-2023</t>
        </is>
      </c>
      <c r="B340" s="1" t="n">
        <v>45096</v>
      </c>
      <c r="C340" s="1" t="n">
        <v>45218</v>
      </c>
      <c r="D340" t="inlineStr">
        <is>
          <t>VÄSTERNORRLANDS LÄN</t>
        </is>
      </c>
      <c r="E340" t="inlineStr">
        <is>
          <t>SUNDSVALL</t>
        </is>
      </c>
      <c r="F340" t="inlineStr">
        <is>
          <t>SCA</t>
        </is>
      </c>
      <c r="G340" t="n">
        <v>14.3</v>
      </c>
      <c r="H340" t="n">
        <v>1</v>
      </c>
      <c r="I340" t="n">
        <v>1</v>
      </c>
      <c r="J340" t="n">
        <v>1</v>
      </c>
      <c r="K340" t="n">
        <v>0</v>
      </c>
      <c r="L340" t="n">
        <v>0</v>
      </c>
      <c r="M340" t="n">
        <v>0</v>
      </c>
      <c r="N340" t="n">
        <v>0</v>
      </c>
      <c r="O340" t="n">
        <v>1</v>
      </c>
      <c r="P340" t="n">
        <v>0</v>
      </c>
      <c r="Q340" t="n">
        <v>3</v>
      </c>
      <c r="R340" s="2" t="inlineStr">
        <is>
          <t>Lunglav
Vedticka
Blåsippa</t>
        </is>
      </c>
      <c r="S340">
        <f>HYPERLINK("https://klasma.github.io/Logging_2281/artfynd/A 27390-2023 artfynd.xlsx", "A 27390-2023")</f>
        <v/>
      </c>
      <c r="T340">
        <f>HYPERLINK("https://klasma.github.io/Logging_2281/kartor/A 27390-2023 karta.png", "A 27390-2023")</f>
        <v/>
      </c>
      <c r="V340">
        <f>HYPERLINK("https://klasma.github.io/Logging_2281/klagomål/A 27390-2023 FSC-klagomål.docx", "A 27390-2023")</f>
        <v/>
      </c>
      <c r="W340">
        <f>HYPERLINK("https://klasma.github.io/Logging_2281/klagomålsmail/A 27390-2023 FSC-klagomål mail.docx", "A 27390-2023")</f>
        <v/>
      </c>
      <c r="X340">
        <f>HYPERLINK("https://klasma.github.io/Logging_2281/tillsyn/A 27390-2023 tillsynsbegäran.docx", "A 27390-2023")</f>
        <v/>
      </c>
      <c r="Y340">
        <f>HYPERLINK("https://klasma.github.io/Logging_2281/tillsynsmail/A 27390-2023 tillsynsbegäran mail.docx", "A 27390-2023")</f>
        <v/>
      </c>
    </row>
    <row r="341" ht="15" customHeight="1">
      <c r="A341" t="inlineStr">
        <is>
          <t>A 28274-2023</t>
        </is>
      </c>
      <c r="B341" s="1" t="n">
        <v>45099</v>
      </c>
      <c r="C341" s="1" t="n">
        <v>45218</v>
      </c>
      <c r="D341" t="inlineStr">
        <is>
          <t>VÄSTERNORRLANDS LÄN</t>
        </is>
      </c>
      <c r="E341" t="inlineStr">
        <is>
          <t>ÅNGE</t>
        </is>
      </c>
      <c r="G341" t="n">
        <v>19.2</v>
      </c>
      <c r="H341" t="n">
        <v>1</v>
      </c>
      <c r="I341" t="n">
        <v>1</v>
      </c>
      <c r="J341" t="n">
        <v>1</v>
      </c>
      <c r="K341" t="n">
        <v>1</v>
      </c>
      <c r="L341" t="n">
        <v>0</v>
      </c>
      <c r="M341" t="n">
        <v>0</v>
      </c>
      <c r="N341" t="n">
        <v>0</v>
      </c>
      <c r="O341" t="n">
        <v>2</v>
      </c>
      <c r="P341" t="n">
        <v>1</v>
      </c>
      <c r="Q341" t="n">
        <v>3</v>
      </c>
      <c r="R341" s="2" t="inlineStr">
        <is>
          <t>Knärot
Lunglav
Grönpyrola</t>
        </is>
      </c>
      <c r="S341">
        <f>HYPERLINK("https://klasma.github.io/Logging_2260/artfynd/A 28274-2023 artfynd.xlsx", "A 28274-2023")</f>
        <v/>
      </c>
      <c r="T341">
        <f>HYPERLINK("https://klasma.github.io/Logging_2260/kartor/A 28274-2023 karta.png", "A 28274-2023")</f>
        <v/>
      </c>
      <c r="U341">
        <f>HYPERLINK("https://klasma.github.io/Logging_2260/knärot/A 28274-2023 karta knärot.png", "A 28274-2023")</f>
        <v/>
      </c>
      <c r="V341">
        <f>HYPERLINK("https://klasma.github.io/Logging_2260/klagomål/A 28274-2023 FSC-klagomål.docx", "A 28274-2023")</f>
        <v/>
      </c>
      <c r="W341">
        <f>HYPERLINK("https://klasma.github.io/Logging_2260/klagomålsmail/A 28274-2023 FSC-klagomål mail.docx", "A 28274-2023")</f>
        <v/>
      </c>
      <c r="X341">
        <f>HYPERLINK("https://klasma.github.io/Logging_2260/tillsyn/A 28274-2023 tillsynsbegäran.docx", "A 28274-2023")</f>
        <v/>
      </c>
      <c r="Y341">
        <f>HYPERLINK("https://klasma.github.io/Logging_2260/tillsynsmail/A 28274-2023 tillsynsbegäran mail.docx", "A 28274-2023")</f>
        <v/>
      </c>
    </row>
    <row r="342" ht="15" customHeight="1">
      <c r="A342" t="inlineStr">
        <is>
          <t>A 30839-2023</t>
        </is>
      </c>
      <c r="B342" s="1" t="n">
        <v>45112</v>
      </c>
      <c r="C342" s="1" t="n">
        <v>45218</v>
      </c>
      <c r="D342" t="inlineStr">
        <is>
          <t>VÄSTERNORRLANDS LÄN</t>
        </is>
      </c>
      <c r="E342" t="inlineStr">
        <is>
          <t>ÅNGE</t>
        </is>
      </c>
      <c r="F342" t="inlineStr">
        <is>
          <t>SCA</t>
        </is>
      </c>
      <c r="G342" t="n">
        <v>15.1</v>
      </c>
      <c r="H342" t="n">
        <v>0</v>
      </c>
      <c r="I342" t="n">
        <v>0</v>
      </c>
      <c r="J342" t="n">
        <v>3</v>
      </c>
      <c r="K342" t="n">
        <v>0</v>
      </c>
      <c r="L342" t="n">
        <v>0</v>
      </c>
      <c r="M342" t="n">
        <v>0</v>
      </c>
      <c r="N342" t="n">
        <v>0</v>
      </c>
      <c r="O342" t="n">
        <v>3</v>
      </c>
      <c r="P342" t="n">
        <v>0</v>
      </c>
      <c r="Q342" t="n">
        <v>3</v>
      </c>
      <c r="R342" s="2" t="inlineStr">
        <is>
          <t>Kolflarnlav
Mörk kolflarnlav
Vedskivlav</t>
        </is>
      </c>
      <c r="S342">
        <f>HYPERLINK("https://klasma.github.io/Logging_2260/artfynd/A 30839-2023 artfynd.xlsx", "A 30839-2023")</f>
        <v/>
      </c>
      <c r="T342">
        <f>HYPERLINK("https://klasma.github.io/Logging_2260/kartor/A 30839-2023 karta.png", "A 30839-2023")</f>
        <v/>
      </c>
      <c r="U342">
        <f>HYPERLINK("https://klasma.github.io/Logging_2260/knärot/A 30839-2023 karta knärot.png", "A 30839-2023")</f>
        <v/>
      </c>
      <c r="V342">
        <f>HYPERLINK("https://klasma.github.io/Logging_2260/klagomål/A 30839-2023 FSC-klagomål.docx", "A 30839-2023")</f>
        <v/>
      </c>
      <c r="W342">
        <f>HYPERLINK("https://klasma.github.io/Logging_2260/klagomålsmail/A 30839-2023 FSC-klagomål mail.docx", "A 30839-2023")</f>
        <v/>
      </c>
      <c r="X342">
        <f>HYPERLINK("https://klasma.github.io/Logging_2260/tillsyn/A 30839-2023 tillsynsbegäran.docx", "A 30839-2023")</f>
        <v/>
      </c>
      <c r="Y342">
        <f>HYPERLINK("https://klasma.github.io/Logging_2260/tillsynsmail/A 30839-2023 tillsynsbegäran mail.docx", "A 30839-2023")</f>
        <v/>
      </c>
    </row>
    <row r="343" ht="15" customHeight="1">
      <c r="A343" t="inlineStr">
        <is>
          <t>A 37799-2023</t>
        </is>
      </c>
      <c r="B343" s="1" t="n">
        <v>45159</v>
      </c>
      <c r="C343" s="1" t="n">
        <v>45218</v>
      </c>
      <c r="D343" t="inlineStr">
        <is>
          <t>VÄSTERNORRLANDS LÄN</t>
        </is>
      </c>
      <c r="E343" t="inlineStr">
        <is>
          <t>TIMRÅ</t>
        </is>
      </c>
      <c r="F343" t="inlineStr">
        <is>
          <t>SCA</t>
        </is>
      </c>
      <c r="G343" t="n">
        <v>3.3</v>
      </c>
      <c r="H343" t="n">
        <v>0</v>
      </c>
      <c r="I343" t="n">
        <v>0</v>
      </c>
      <c r="J343" t="n">
        <v>3</v>
      </c>
      <c r="K343" t="n">
        <v>0</v>
      </c>
      <c r="L343" t="n">
        <v>0</v>
      </c>
      <c r="M343" t="n">
        <v>0</v>
      </c>
      <c r="N343" t="n">
        <v>0</v>
      </c>
      <c r="O343" t="n">
        <v>3</v>
      </c>
      <c r="P343" t="n">
        <v>0</v>
      </c>
      <c r="Q343" t="n">
        <v>3</v>
      </c>
      <c r="R343" s="2" t="inlineStr">
        <is>
          <t>Garnlav
Ullticka
Veckticka</t>
        </is>
      </c>
      <c r="S343">
        <f>HYPERLINK("https://klasma.github.io/Logging_2262/artfynd/A 37799-2023 artfynd.xlsx", "A 37799-2023")</f>
        <v/>
      </c>
      <c r="T343">
        <f>HYPERLINK("https://klasma.github.io/Logging_2262/kartor/A 37799-2023 karta.png", "A 37799-2023")</f>
        <v/>
      </c>
      <c r="V343">
        <f>HYPERLINK("https://klasma.github.io/Logging_2262/klagomål/A 37799-2023 FSC-klagomål.docx", "A 37799-2023")</f>
        <v/>
      </c>
      <c r="W343">
        <f>HYPERLINK("https://klasma.github.io/Logging_2262/klagomålsmail/A 37799-2023 FSC-klagomål mail.docx", "A 37799-2023")</f>
        <v/>
      </c>
      <c r="X343">
        <f>HYPERLINK("https://klasma.github.io/Logging_2262/tillsyn/A 37799-2023 tillsynsbegäran.docx", "A 37799-2023")</f>
        <v/>
      </c>
      <c r="Y343">
        <f>HYPERLINK("https://klasma.github.io/Logging_2262/tillsynsmail/A 37799-2023 tillsynsbegäran mail.docx", "A 37799-2023")</f>
        <v/>
      </c>
    </row>
    <row r="344" ht="15" customHeight="1">
      <c r="A344" t="inlineStr">
        <is>
          <t>A 38096-2023</t>
        </is>
      </c>
      <c r="B344" s="1" t="n">
        <v>45160</v>
      </c>
      <c r="C344" s="1" t="n">
        <v>45218</v>
      </c>
      <c r="D344" t="inlineStr">
        <is>
          <t>VÄSTERNORRLANDS LÄN</t>
        </is>
      </c>
      <c r="E344" t="inlineStr">
        <is>
          <t>SUNDSVALL</t>
        </is>
      </c>
      <c r="F344" t="inlineStr">
        <is>
          <t>SCA</t>
        </is>
      </c>
      <c r="G344" t="n">
        <v>3.6</v>
      </c>
      <c r="H344" t="n">
        <v>0</v>
      </c>
      <c r="I344" t="n">
        <v>1</v>
      </c>
      <c r="J344" t="n">
        <v>2</v>
      </c>
      <c r="K344" t="n">
        <v>0</v>
      </c>
      <c r="L344" t="n">
        <v>0</v>
      </c>
      <c r="M344" t="n">
        <v>0</v>
      </c>
      <c r="N344" t="n">
        <v>0</v>
      </c>
      <c r="O344" t="n">
        <v>2</v>
      </c>
      <c r="P344" t="n">
        <v>0</v>
      </c>
      <c r="Q344" t="n">
        <v>3</v>
      </c>
      <c r="R344" s="2" t="inlineStr">
        <is>
          <t>Blå taggsvamp
Lunglav
Dropptaggsvamp</t>
        </is>
      </c>
      <c r="S344">
        <f>HYPERLINK("https://klasma.github.io/Logging_2281/artfynd/A 38096-2023 artfynd.xlsx", "A 38096-2023")</f>
        <v/>
      </c>
      <c r="T344">
        <f>HYPERLINK("https://klasma.github.io/Logging_2281/kartor/A 38096-2023 karta.png", "A 38096-2023")</f>
        <v/>
      </c>
      <c r="V344">
        <f>HYPERLINK("https://klasma.github.io/Logging_2281/klagomål/A 38096-2023 FSC-klagomål.docx", "A 38096-2023")</f>
        <v/>
      </c>
      <c r="W344">
        <f>HYPERLINK("https://klasma.github.io/Logging_2281/klagomålsmail/A 38096-2023 FSC-klagomål mail.docx", "A 38096-2023")</f>
        <v/>
      </c>
      <c r="X344">
        <f>HYPERLINK("https://klasma.github.io/Logging_2281/tillsyn/A 38096-2023 tillsynsbegäran.docx", "A 38096-2023")</f>
        <v/>
      </c>
      <c r="Y344">
        <f>HYPERLINK("https://klasma.github.io/Logging_2281/tillsynsmail/A 38096-2023 tillsynsbegäran mail.docx", "A 38096-2023")</f>
        <v/>
      </c>
    </row>
    <row r="345" ht="15" customHeight="1">
      <c r="A345" t="inlineStr">
        <is>
          <t>A 58579-2018</t>
        </is>
      </c>
      <c r="B345" s="1" t="n">
        <v>43409</v>
      </c>
      <c r="C345" s="1" t="n">
        <v>45218</v>
      </c>
      <c r="D345" t="inlineStr">
        <is>
          <t>VÄSTERNORRLANDS LÄN</t>
        </is>
      </c>
      <c r="E345" t="inlineStr">
        <is>
          <t>SOLLEFTEÅ</t>
        </is>
      </c>
      <c r="G345" t="n">
        <v>2.3</v>
      </c>
      <c r="H345" t="n">
        <v>0</v>
      </c>
      <c r="I345" t="n">
        <v>0</v>
      </c>
      <c r="J345" t="n">
        <v>2</v>
      </c>
      <c r="K345" t="n">
        <v>0</v>
      </c>
      <c r="L345" t="n">
        <v>0</v>
      </c>
      <c r="M345" t="n">
        <v>0</v>
      </c>
      <c r="N345" t="n">
        <v>0</v>
      </c>
      <c r="O345" t="n">
        <v>2</v>
      </c>
      <c r="P345" t="n">
        <v>0</v>
      </c>
      <c r="Q345" t="n">
        <v>2</v>
      </c>
      <c r="R345" s="2" t="inlineStr">
        <is>
          <t>Garnlav
Ullticka</t>
        </is>
      </c>
      <c r="S345">
        <f>HYPERLINK("https://klasma.github.io/Logging_2283/artfynd/A 58579-2018 artfynd.xlsx", "A 58579-2018")</f>
        <v/>
      </c>
      <c r="T345">
        <f>HYPERLINK("https://klasma.github.io/Logging_2283/kartor/A 58579-2018 karta.png", "A 58579-2018")</f>
        <v/>
      </c>
      <c r="V345">
        <f>HYPERLINK("https://klasma.github.io/Logging_2283/klagomål/A 58579-2018 FSC-klagomål.docx", "A 58579-2018")</f>
        <v/>
      </c>
      <c r="W345">
        <f>HYPERLINK("https://klasma.github.io/Logging_2283/klagomålsmail/A 58579-2018 FSC-klagomål mail.docx", "A 58579-2018")</f>
        <v/>
      </c>
      <c r="X345">
        <f>HYPERLINK("https://klasma.github.io/Logging_2283/tillsyn/A 58579-2018 tillsynsbegäran.docx", "A 58579-2018")</f>
        <v/>
      </c>
      <c r="Y345">
        <f>HYPERLINK("https://klasma.github.io/Logging_2283/tillsynsmail/A 58579-2018 tillsynsbegäran mail.docx", "A 58579-2018")</f>
        <v/>
      </c>
    </row>
    <row r="346" ht="15" customHeight="1">
      <c r="A346" t="inlineStr">
        <is>
          <t>A 60182-2018</t>
        </is>
      </c>
      <c r="B346" s="1" t="n">
        <v>43412</v>
      </c>
      <c r="C346" s="1" t="n">
        <v>45218</v>
      </c>
      <c r="D346" t="inlineStr">
        <is>
          <t>VÄSTERNORRLANDS LÄN</t>
        </is>
      </c>
      <c r="E346" t="inlineStr">
        <is>
          <t>SUNDSVALL</t>
        </is>
      </c>
      <c r="G346" t="n">
        <v>5.5</v>
      </c>
      <c r="H346" t="n">
        <v>1</v>
      </c>
      <c r="I346" t="n">
        <v>0</v>
      </c>
      <c r="J346" t="n">
        <v>2</v>
      </c>
      <c r="K346" t="n">
        <v>0</v>
      </c>
      <c r="L346" t="n">
        <v>0</v>
      </c>
      <c r="M346" t="n">
        <v>0</v>
      </c>
      <c r="N346" t="n">
        <v>0</v>
      </c>
      <c r="O346" t="n">
        <v>2</v>
      </c>
      <c r="P346" t="n">
        <v>0</v>
      </c>
      <c r="Q346" t="n">
        <v>2</v>
      </c>
      <c r="R346" s="2" t="inlineStr">
        <is>
          <t>Mindre hackspett
Rödprick</t>
        </is>
      </c>
      <c r="S346">
        <f>HYPERLINK("https://klasma.github.io/Logging_2281/artfynd/A 60182-2018 artfynd.xlsx", "A 60182-2018")</f>
        <v/>
      </c>
      <c r="T346">
        <f>HYPERLINK("https://klasma.github.io/Logging_2281/kartor/A 60182-2018 karta.png", "A 60182-2018")</f>
        <v/>
      </c>
      <c r="V346">
        <f>HYPERLINK("https://klasma.github.io/Logging_2281/klagomål/A 60182-2018 FSC-klagomål.docx", "A 60182-2018")</f>
        <v/>
      </c>
      <c r="W346">
        <f>HYPERLINK("https://klasma.github.io/Logging_2281/klagomålsmail/A 60182-2018 FSC-klagomål mail.docx", "A 60182-2018")</f>
        <v/>
      </c>
      <c r="X346">
        <f>HYPERLINK("https://klasma.github.io/Logging_2281/tillsyn/A 60182-2018 tillsynsbegäran.docx", "A 60182-2018")</f>
        <v/>
      </c>
      <c r="Y346">
        <f>HYPERLINK("https://klasma.github.io/Logging_2281/tillsynsmail/A 60182-2018 tillsynsbegäran mail.docx", "A 60182-2018")</f>
        <v/>
      </c>
    </row>
    <row r="347" ht="15" customHeight="1">
      <c r="A347" t="inlineStr">
        <is>
          <t>A 61641-2018</t>
        </is>
      </c>
      <c r="B347" s="1" t="n">
        <v>43424</v>
      </c>
      <c r="C347" s="1" t="n">
        <v>45218</v>
      </c>
      <c r="D347" t="inlineStr">
        <is>
          <t>VÄSTERNORRLANDS LÄN</t>
        </is>
      </c>
      <c r="E347" t="inlineStr">
        <is>
          <t>ÅNGE</t>
        </is>
      </c>
      <c r="G347" t="n">
        <v>2.8</v>
      </c>
      <c r="H347" t="n">
        <v>0</v>
      </c>
      <c r="I347" t="n">
        <v>0</v>
      </c>
      <c r="J347" t="n">
        <v>2</v>
      </c>
      <c r="K347" t="n">
        <v>0</v>
      </c>
      <c r="L347" t="n">
        <v>0</v>
      </c>
      <c r="M347" t="n">
        <v>0</v>
      </c>
      <c r="N347" t="n">
        <v>0</v>
      </c>
      <c r="O347" t="n">
        <v>2</v>
      </c>
      <c r="P347" t="n">
        <v>0</v>
      </c>
      <c r="Q347" t="n">
        <v>2</v>
      </c>
      <c r="R347" s="2" t="inlineStr">
        <is>
          <t>Lunglav
Rosenticka</t>
        </is>
      </c>
      <c r="S347">
        <f>HYPERLINK("https://klasma.github.io/Logging_2260/artfynd/A 61641-2018 artfynd.xlsx", "A 61641-2018")</f>
        <v/>
      </c>
      <c r="T347">
        <f>HYPERLINK("https://klasma.github.io/Logging_2260/kartor/A 61641-2018 karta.png", "A 61641-2018")</f>
        <v/>
      </c>
      <c r="V347">
        <f>HYPERLINK("https://klasma.github.io/Logging_2260/klagomål/A 61641-2018 FSC-klagomål.docx", "A 61641-2018")</f>
        <v/>
      </c>
      <c r="W347">
        <f>HYPERLINK("https://klasma.github.io/Logging_2260/klagomålsmail/A 61641-2018 FSC-klagomål mail.docx", "A 61641-2018")</f>
        <v/>
      </c>
      <c r="X347">
        <f>HYPERLINK("https://klasma.github.io/Logging_2260/tillsyn/A 61641-2018 tillsynsbegäran.docx", "A 61641-2018")</f>
        <v/>
      </c>
      <c r="Y347">
        <f>HYPERLINK("https://klasma.github.io/Logging_2260/tillsynsmail/A 61641-2018 tillsynsbegäran mail.docx", "A 61641-2018")</f>
        <v/>
      </c>
    </row>
    <row r="348" ht="15" customHeight="1">
      <c r="A348" t="inlineStr">
        <is>
          <t>A 3782-2019</t>
        </is>
      </c>
      <c r="B348" s="1" t="n">
        <v>43481</v>
      </c>
      <c r="C348" s="1" t="n">
        <v>45218</v>
      </c>
      <c r="D348" t="inlineStr">
        <is>
          <t>VÄSTERNORRLANDS LÄN</t>
        </is>
      </c>
      <c r="E348" t="inlineStr">
        <is>
          <t>SOLLEFTEÅ</t>
        </is>
      </c>
      <c r="F348" t="inlineStr">
        <is>
          <t>SCA</t>
        </is>
      </c>
      <c r="G348" t="n">
        <v>3.7</v>
      </c>
      <c r="H348" t="n">
        <v>2</v>
      </c>
      <c r="I348" t="n">
        <v>0</v>
      </c>
      <c r="J348" t="n">
        <v>2</v>
      </c>
      <c r="K348" t="n">
        <v>0</v>
      </c>
      <c r="L348" t="n">
        <v>0</v>
      </c>
      <c r="M348" t="n">
        <v>0</v>
      </c>
      <c r="N348" t="n">
        <v>0</v>
      </c>
      <c r="O348" t="n">
        <v>2</v>
      </c>
      <c r="P348" t="n">
        <v>0</v>
      </c>
      <c r="Q348" t="n">
        <v>2</v>
      </c>
      <c r="R348" s="2" t="inlineStr">
        <is>
          <t>Drillsnäppa
Rödvingetrast</t>
        </is>
      </c>
      <c r="S348">
        <f>HYPERLINK("https://klasma.github.io/Logging_2283/artfynd/A 3782-2019 artfynd.xlsx", "A 3782-2019")</f>
        <v/>
      </c>
      <c r="T348">
        <f>HYPERLINK("https://klasma.github.io/Logging_2283/kartor/A 3782-2019 karta.png", "A 3782-2019")</f>
        <v/>
      </c>
      <c r="V348">
        <f>HYPERLINK("https://klasma.github.io/Logging_2283/klagomål/A 3782-2019 FSC-klagomål.docx", "A 3782-2019")</f>
        <v/>
      </c>
      <c r="W348">
        <f>HYPERLINK("https://klasma.github.io/Logging_2283/klagomålsmail/A 3782-2019 FSC-klagomål mail.docx", "A 3782-2019")</f>
        <v/>
      </c>
      <c r="X348">
        <f>HYPERLINK("https://klasma.github.io/Logging_2283/tillsyn/A 3782-2019 tillsynsbegäran.docx", "A 3782-2019")</f>
        <v/>
      </c>
      <c r="Y348">
        <f>HYPERLINK("https://klasma.github.io/Logging_2283/tillsynsmail/A 3782-2019 tillsynsbegäran mail.docx", "A 3782-2019")</f>
        <v/>
      </c>
    </row>
    <row r="349" ht="15" customHeight="1">
      <c r="A349" t="inlineStr">
        <is>
          <t>A 7140-2019</t>
        </is>
      </c>
      <c r="B349" s="1" t="n">
        <v>43496</v>
      </c>
      <c r="C349" s="1" t="n">
        <v>45218</v>
      </c>
      <c r="D349" t="inlineStr">
        <is>
          <t>VÄSTERNORRLANDS LÄN</t>
        </is>
      </c>
      <c r="E349" t="inlineStr">
        <is>
          <t>ÅNGE</t>
        </is>
      </c>
      <c r="G349" t="n">
        <v>9.300000000000001</v>
      </c>
      <c r="H349" t="n">
        <v>1</v>
      </c>
      <c r="I349" t="n">
        <v>1</v>
      </c>
      <c r="J349" t="n">
        <v>0</v>
      </c>
      <c r="K349" t="n">
        <v>1</v>
      </c>
      <c r="L349" t="n">
        <v>0</v>
      </c>
      <c r="M349" t="n">
        <v>0</v>
      </c>
      <c r="N349" t="n">
        <v>0</v>
      </c>
      <c r="O349" t="n">
        <v>1</v>
      </c>
      <c r="P349" t="n">
        <v>1</v>
      </c>
      <c r="Q349" t="n">
        <v>2</v>
      </c>
      <c r="R349" s="2" t="inlineStr">
        <is>
          <t>Doftticka
Stor aspticka</t>
        </is>
      </c>
      <c r="S349">
        <f>HYPERLINK("https://klasma.github.io/Logging_2260/artfynd/A 7140-2019 artfynd.xlsx", "A 7140-2019")</f>
        <v/>
      </c>
      <c r="T349">
        <f>HYPERLINK("https://klasma.github.io/Logging_2260/kartor/A 7140-2019 karta.png", "A 7140-2019")</f>
        <v/>
      </c>
      <c r="V349">
        <f>HYPERLINK("https://klasma.github.io/Logging_2260/klagomål/A 7140-2019 FSC-klagomål.docx", "A 7140-2019")</f>
        <v/>
      </c>
      <c r="W349">
        <f>HYPERLINK("https://klasma.github.io/Logging_2260/klagomålsmail/A 7140-2019 FSC-klagomål mail.docx", "A 7140-2019")</f>
        <v/>
      </c>
      <c r="X349">
        <f>HYPERLINK("https://klasma.github.io/Logging_2260/tillsyn/A 7140-2019 tillsynsbegäran.docx", "A 7140-2019")</f>
        <v/>
      </c>
      <c r="Y349">
        <f>HYPERLINK("https://klasma.github.io/Logging_2260/tillsynsmail/A 7140-2019 tillsynsbegäran mail.docx", "A 7140-2019")</f>
        <v/>
      </c>
    </row>
    <row r="350" ht="15" customHeight="1">
      <c r="A350" t="inlineStr">
        <is>
          <t>A 9516-2019</t>
        </is>
      </c>
      <c r="B350" s="1" t="n">
        <v>43507</v>
      </c>
      <c r="C350" s="1" t="n">
        <v>45218</v>
      </c>
      <c r="D350" t="inlineStr">
        <is>
          <t>VÄSTERNORRLANDS LÄN</t>
        </is>
      </c>
      <c r="E350" t="inlineStr">
        <is>
          <t>SUNDSVALL</t>
        </is>
      </c>
      <c r="F350" t="inlineStr">
        <is>
          <t>SCA</t>
        </is>
      </c>
      <c r="G350" t="n">
        <v>35.2</v>
      </c>
      <c r="H350" t="n">
        <v>0</v>
      </c>
      <c r="I350" t="n">
        <v>0</v>
      </c>
      <c r="J350" t="n">
        <v>2</v>
      </c>
      <c r="K350" t="n">
        <v>0</v>
      </c>
      <c r="L350" t="n">
        <v>0</v>
      </c>
      <c r="M350" t="n">
        <v>0</v>
      </c>
      <c r="N350" t="n">
        <v>0</v>
      </c>
      <c r="O350" t="n">
        <v>2</v>
      </c>
      <c r="P350" t="n">
        <v>0</v>
      </c>
      <c r="Q350" t="n">
        <v>2</v>
      </c>
      <c r="R350" s="2" t="inlineStr">
        <is>
          <t>Gränsticka
Lunglav</t>
        </is>
      </c>
      <c r="S350">
        <f>HYPERLINK("https://klasma.github.io/Logging_2281/artfynd/A 9516-2019 artfynd.xlsx", "A 9516-2019")</f>
        <v/>
      </c>
      <c r="T350">
        <f>HYPERLINK("https://klasma.github.io/Logging_2281/kartor/A 9516-2019 karta.png", "A 9516-2019")</f>
        <v/>
      </c>
      <c r="V350">
        <f>HYPERLINK("https://klasma.github.io/Logging_2281/klagomål/A 9516-2019 FSC-klagomål.docx", "A 9516-2019")</f>
        <v/>
      </c>
      <c r="W350">
        <f>HYPERLINK("https://klasma.github.io/Logging_2281/klagomålsmail/A 9516-2019 FSC-klagomål mail.docx", "A 9516-2019")</f>
        <v/>
      </c>
      <c r="X350">
        <f>HYPERLINK("https://klasma.github.io/Logging_2281/tillsyn/A 9516-2019 tillsynsbegäran.docx", "A 9516-2019")</f>
        <v/>
      </c>
      <c r="Y350">
        <f>HYPERLINK("https://klasma.github.io/Logging_2281/tillsynsmail/A 9516-2019 tillsynsbegäran mail.docx", "A 9516-2019")</f>
        <v/>
      </c>
    </row>
    <row r="351" ht="15" customHeight="1">
      <c r="A351" t="inlineStr">
        <is>
          <t>A 16561-2019</t>
        </is>
      </c>
      <c r="B351" s="1" t="n">
        <v>43546</v>
      </c>
      <c r="C351" s="1" t="n">
        <v>45218</v>
      </c>
      <c r="D351" t="inlineStr">
        <is>
          <t>VÄSTERNORRLANDS LÄN</t>
        </is>
      </c>
      <c r="E351" t="inlineStr">
        <is>
          <t>KRAMFORS</t>
        </is>
      </c>
      <c r="F351" t="inlineStr">
        <is>
          <t>SCA</t>
        </is>
      </c>
      <c r="G351" t="n">
        <v>78.5</v>
      </c>
      <c r="H351" t="n">
        <v>2</v>
      </c>
      <c r="I351" t="n">
        <v>0</v>
      </c>
      <c r="J351" t="n">
        <v>2</v>
      </c>
      <c r="K351" t="n">
        <v>0</v>
      </c>
      <c r="L351" t="n">
        <v>0</v>
      </c>
      <c r="M351" t="n">
        <v>0</v>
      </c>
      <c r="N351" t="n">
        <v>0</v>
      </c>
      <c r="O351" t="n">
        <v>2</v>
      </c>
      <c r="P351" t="n">
        <v>0</v>
      </c>
      <c r="Q351" t="n">
        <v>2</v>
      </c>
      <c r="R351" s="2" t="inlineStr">
        <is>
          <t>Drillsnäppa
Utter</t>
        </is>
      </c>
      <c r="S351">
        <f>HYPERLINK("https://klasma.github.io/Logging_2282/artfynd/A 16561-2019 artfynd.xlsx", "A 16561-2019")</f>
        <v/>
      </c>
      <c r="T351">
        <f>HYPERLINK("https://klasma.github.io/Logging_2282/kartor/A 16561-2019 karta.png", "A 16561-2019")</f>
        <v/>
      </c>
      <c r="V351">
        <f>HYPERLINK("https://klasma.github.io/Logging_2282/klagomål/A 16561-2019 FSC-klagomål.docx", "A 16561-2019")</f>
        <v/>
      </c>
      <c r="W351">
        <f>HYPERLINK("https://klasma.github.io/Logging_2282/klagomålsmail/A 16561-2019 FSC-klagomål mail.docx", "A 16561-2019")</f>
        <v/>
      </c>
      <c r="X351">
        <f>HYPERLINK("https://klasma.github.io/Logging_2282/tillsyn/A 16561-2019 tillsynsbegäran.docx", "A 16561-2019")</f>
        <v/>
      </c>
      <c r="Y351">
        <f>HYPERLINK("https://klasma.github.io/Logging_2282/tillsynsmail/A 16561-2019 tillsynsbegäran mail.docx", "A 16561-2019")</f>
        <v/>
      </c>
    </row>
    <row r="352" ht="15" customHeight="1">
      <c r="A352" t="inlineStr">
        <is>
          <t>A 34494-2019</t>
        </is>
      </c>
      <c r="B352" s="1" t="n">
        <v>43656</v>
      </c>
      <c r="C352" s="1" t="n">
        <v>45218</v>
      </c>
      <c r="D352" t="inlineStr">
        <is>
          <t>VÄSTERNORRLANDS LÄN</t>
        </is>
      </c>
      <c r="E352" t="inlineStr">
        <is>
          <t>ÅNGE</t>
        </is>
      </c>
      <c r="F352" t="inlineStr">
        <is>
          <t>SCA</t>
        </is>
      </c>
      <c r="G352" t="n">
        <v>3.3</v>
      </c>
      <c r="H352" t="n">
        <v>0</v>
      </c>
      <c r="I352" t="n">
        <v>1</v>
      </c>
      <c r="J352" t="n">
        <v>1</v>
      </c>
      <c r="K352" t="n">
        <v>0</v>
      </c>
      <c r="L352" t="n">
        <v>0</v>
      </c>
      <c r="M352" t="n">
        <v>0</v>
      </c>
      <c r="N352" t="n">
        <v>0</v>
      </c>
      <c r="O352" t="n">
        <v>1</v>
      </c>
      <c r="P352" t="n">
        <v>0</v>
      </c>
      <c r="Q352" t="n">
        <v>2</v>
      </c>
      <c r="R352" s="2" t="inlineStr">
        <is>
          <t>Garnlav
Korallblylav</t>
        </is>
      </c>
      <c r="S352">
        <f>HYPERLINK("https://klasma.github.io/Logging_2260/artfynd/A 34494-2019 artfynd.xlsx", "A 34494-2019")</f>
        <v/>
      </c>
      <c r="T352">
        <f>HYPERLINK("https://klasma.github.io/Logging_2260/kartor/A 34494-2019 karta.png", "A 34494-2019")</f>
        <v/>
      </c>
      <c r="V352">
        <f>HYPERLINK("https://klasma.github.io/Logging_2260/klagomål/A 34494-2019 FSC-klagomål.docx", "A 34494-2019")</f>
        <v/>
      </c>
      <c r="W352">
        <f>HYPERLINK("https://klasma.github.io/Logging_2260/klagomålsmail/A 34494-2019 FSC-klagomål mail.docx", "A 34494-2019")</f>
        <v/>
      </c>
      <c r="X352">
        <f>HYPERLINK("https://klasma.github.io/Logging_2260/tillsyn/A 34494-2019 tillsynsbegäran.docx", "A 34494-2019")</f>
        <v/>
      </c>
      <c r="Y352">
        <f>HYPERLINK("https://klasma.github.io/Logging_2260/tillsynsmail/A 34494-2019 tillsynsbegäran mail.docx", "A 34494-2019")</f>
        <v/>
      </c>
    </row>
    <row r="353" ht="15" customHeight="1">
      <c r="A353" t="inlineStr">
        <is>
          <t>A 34918-2019</t>
        </is>
      </c>
      <c r="B353" s="1" t="n">
        <v>43658</v>
      </c>
      <c r="C353" s="1" t="n">
        <v>45218</v>
      </c>
      <c r="D353" t="inlineStr">
        <is>
          <t>VÄSTERNORRLANDS LÄN</t>
        </is>
      </c>
      <c r="E353" t="inlineStr">
        <is>
          <t>SOLLEFTEÅ</t>
        </is>
      </c>
      <c r="G353" t="n">
        <v>2.7</v>
      </c>
      <c r="H353" t="n">
        <v>0</v>
      </c>
      <c r="I353" t="n">
        <v>0</v>
      </c>
      <c r="J353" t="n">
        <v>2</v>
      </c>
      <c r="K353" t="n">
        <v>0</v>
      </c>
      <c r="L353" t="n">
        <v>0</v>
      </c>
      <c r="M353" t="n">
        <v>0</v>
      </c>
      <c r="N353" t="n">
        <v>0</v>
      </c>
      <c r="O353" t="n">
        <v>2</v>
      </c>
      <c r="P353" t="n">
        <v>0</v>
      </c>
      <c r="Q353" t="n">
        <v>2</v>
      </c>
      <c r="R353" s="2" t="inlineStr">
        <is>
          <t>Granticka
Ullticka</t>
        </is>
      </c>
      <c r="S353">
        <f>HYPERLINK("https://klasma.github.io/Logging_2283/artfynd/A 34918-2019 artfynd.xlsx", "A 34918-2019")</f>
        <v/>
      </c>
      <c r="T353">
        <f>HYPERLINK("https://klasma.github.io/Logging_2283/kartor/A 34918-2019 karta.png", "A 34918-2019")</f>
        <v/>
      </c>
      <c r="V353">
        <f>HYPERLINK("https://klasma.github.io/Logging_2283/klagomål/A 34918-2019 FSC-klagomål.docx", "A 34918-2019")</f>
        <v/>
      </c>
      <c r="W353">
        <f>HYPERLINK("https://klasma.github.io/Logging_2283/klagomålsmail/A 34918-2019 FSC-klagomål mail.docx", "A 34918-2019")</f>
        <v/>
      </c>
      <c r="X353">
        <f>HYPERLINK("https://klasma.github.io/Logging_2283/tillsyn/A 34918-2019 tillsynsbegäran.docx", "A 34918-2019")</f>
        <v/>
      </c>
      <c r="Y353">
        <f>HYPERLINK("https://klasma.github.io/Logging_2283/tillsynsmail/A 34918-2019 tillsynsbegäran mail.docx", "A 34918-2019")</f>
        <v/>
      </c>
    </row>
    <row r="354" ht="15" customHeight="1">
      <c r="A354" t="inlineStr">
        <is>
          <t>A 38332-2019</t>
        </is>
      </c>
      <c r="B354" s="1" t="n">
        <v>43684</v>
      </c>
      <c r="C354" s="1" t="n">
        <v>45218</v>
      </c>
      <c r="D354" t="inlineStr">
        <is>
          <t>VÄSTERNORRLANDS LÄN</t>
        </is>
      </c>
      <c r="E354" t="inlineStr">
        <is>
          <t>ÅNGE</t>
        </is>
      </c>
      <c r="F354" t="inlineStr">
        <is>
          <t>SCA</t>
        </is>
      </c>
      <c r="G354" t="n">
        <v>5</v>
      </c>
      <c r="H354" t="n">
        <v>0</v>
      </c>
      <c r="I354" t="n">
        <v>1</v>
      </c>
      <c r="J354" t="n">
        <v>1</v>
      </c>
      <c r="K354" t="n">
        <v>0</v>
      </c>
      <c r="L354" t="n">
        <v>0</v>
      </c>
      <c r="M354" t="n">
        <v>0</v>
      </c>
      <c r="N354" t="n">
        <v>0</v>
      </c>
      <c r="O354" t="n">
        <v>1</v>
      </c>
      <c r="P354" t="n">
        <v>0</v>
      </c>
      <c r="Q354" t="n">
        <v>2</v>
      </c>
      <c r="R354" s="2" t="inlineStr">
        <is>
          <t>Lunglav
Stuplav</t>
        </is>
      </c>
      <c r="S354">
        <f>HYPERLINK("https://klasma.github.io/Logging_2260/artfynd/A 38332-2019 artfynd.xlsx", "A 38332-2019")</f>
        <v/>
      </c>
      <c r="T354">
        <f>HYPERLINK("https://klasma.github.io/Logging_2260/kartor/A 38332-2019 karta.png", "A 38332-2019")</f>
        <v/>
      </c>
      <c r="V354">
        <f>HYPERLINK("https://klasma.github.io/Logging_2260/klagomål/A 38332-2019 FSC-klagomål.docx", "A 38332-2019")</f>
        <v/>
      </c>
      <c r="W354">
        <f>HYPERLINK("https://klasma.github.io/Logging_2260/klagomålsmail/A 38332-2019 FSC-klagomål mail.docx", "A 38332-2019")</f>
        <v/>
      </c>
      <c r="X354">
        <f>HYPERLINK("https://klasma.github.io/Logging_2260/tillsyn/A 38332-2019 tillsynsbegäran.docx", "A 38332-2019")</f>
        <v/>
      </c>
      <c r="Y354">
        <f>HYPERLINK("https://klasma.github.io/Logging_2260/tillsynsmail/A 38332-2019 tillsynsbegäran mail.docx", "A 38332-2019")</f>
        <v/>
      </c>
    </row>
    <row r="355" ht="15" customHeight="1">
      <c r="A355" t="inlineStr">
        <is>
          <t>A 45006-2019</t>
        </is>
      </c>
      <c r="B355" s="1" t="n">
        <v>43707</v>
      </c>
      <c r="C355" s="1" t="n">
        <v>45218</v>
      </c>
      <c r="D355" t="inlineStr">
        <is>
          <t>VÄSTERNORRLANDS LÄN</t>
        </is>
      </c>
      <c r="E355" t="inlineStr">
        <is>
          <t>KRAMFORS</t>
        </is>
      </c>
      <c r="G355" t="n">
        <v>1.6</v>
      </c>
      <c r="H355" t="n">
        <v>0</v>
      </c>
      <c r="I355" t="n">
        <v>2</v>
      </c>
      <c r="J355" t="n">
        <v>0</v>
      </c>
      <c r="K355" t="n">
        <v>0</v>
      </c>
      <c r="L355" t="n">
        <v>0</v>
      </c>
      <c r="M355" t="n">
        <v>0</v>
      </c>
      <c r="N355" t="n">
        <v>0</v>
      </c>
      <c r="O355" t="n">
        <v>0</v>
      </c>
      <c r="P355" t="n">
        <v>0</v>
      </c>
      <c r="Q355" t="n">
        <v>2</v>
      </c>
      <c r="R355" s="2" t="inlineStr">
        <is>
          <t>Barkticka
Stor aspticka</t>
        </is>
      </c>
      <c r="S355">
        <f>HYPERLINK("https://klasma.github.io/Logging_2282/artfynd/A 45006-2019 artfynd.xlsx", "A 45006-2019")</f>
        <v/>
      </c>
      <c r="T355">
        <f>HYPERLINK("https://klasma.github.io/Logging_2282/kartor/A 45006-2019 karta.png", "A 45006-2019")</f>
        <v/>
      </c>
      <c r="V355">
        <f>HYPERLINK("https://klasma.github.io/Logging_2282/klagomål/A 45006-2019 FSC-klagomål.docx", "A 45006-2019")</f>
        <v/>
      </c>
      <c r="W355">
        <f>HYPERLINK("https://klasma.github.io/Logging_2282/klagomålsmail/A 45006-2019 FSC-klagomål mail.docx", "A 45006-2019")</f>
        <v/>
      </c>
      <c r="X355">
        <f>HYPERLINK("https://klasma.github.io/Logging_2282/tillsyn/A 45006-2019 tillsynsbegäran.docx", "A 45006-2019")</f>
        <v/>
      </c>
      <c r="Y355">
        <f>HYPERLINK("https://klasma.github.io/Logging_2282/tillsynsmail/A 45006-2019 tillsynsbegäran mail.docx", "A 45006-2019")</f>
        <v/>
      </c>
    </row>
    <row r="356" ht="15" customHeight="1">
      <c r="A356" t="inlineStr">
        <is>
          <t>A 47808-2019</t>
        </is>
      </c>
      <c r="B356" s="1" t="n">
        <v>43724</v>
      </c>
      <c r="C356" s="1" t="n">
        <v>45218</v>
      </c>
      <c r="D356" t="inlineStr">
        <is>
          <t>VÄSTERNORRLANDS LÄN</t>
        </is>
      </c>
      <c r="E356" t="inlineStr">
        <is>
          <t>SUNDSVALL</t>
        </is>
      </c>
      <c r="F356" t="inlineStr">
        <is>
          <t>SCA</t>
        </is>
      </c>
      <c r="G356" t="n">
        <v>3.6</v>
      </c>
      <c r="H356" t="n">
        <v>0</v>
      </c>
      <c r="I356" t="n">
        <v>1</v>
      </c>
      <c r="J356" t="n">
        <v>1</v>
      </c>
      <c r="K356" t="n">
        <v>0</v>
      </c>
      <c r="L356" t="n">
        <v>0</v>
      </c>
      <c r="M356" t="n">
        <v>0</v>
      </c>
      <c r="N356" t="n">
        <v>0</v>
      </c>
      <c r="O356" t="n">
        <v>1</v>
      </c>
      <c r="P356" t="n">
        <v>0</v>
      </c>
      <c r="Q356" t="n">
        <v>2</v>
      </c>
      <c r="R356" s="2" t="inlineStr">
        <is>
          <t>Lunglav
Stuplav</t>
        </is>
      </c>
      <c r="S356">
        <f>HYPERLINK("https://klasma.github.io/Logging_2281/artfynd/A 47808-2019 artfynd.xlsx", "A 47808-2019")</f>
        <v/>
      </c>
      <c r="T356">
        <f>HYPERLINK("https://klasma.github.io/Logging_2281/kartor/A 47808-2019 karta.png", "A 47808-2019")</f>
        <v/>
      </c>
      <c r="V356">
        <f>HYPERLINK("https://klasma.github.io/Logging_2281/klagomål/A 47808-2019 FSC-klagomål.docx", "A 47808-2019")</f>
        <v/>
      </c>
      <c r="W356">
        <f>HYPERLINK("https://klasma.github.io/Logging_2281/klagomålsmail/A 47808-2019 FSC-klagomål mail.docx", "A 47808-2019")</f>
        <v/>
      </c>
      <c r="X356">
        <f>HYPERLINK("https://klasma.github.io/Logging_2281/tillsyn/A 47808-2019 tillsynsbegäran.docx", "A 47808-2019")</f>
        <v/>
      </c>
      <c r="Y356">
        <f>HYPERLINK("https://klasma.github.io/Logging_2281/tillsynsmail/A 47808-2019 tillsynsbegäran mail.docx", "A 47808-2019")</f>
        <v/>
      </c>
    </row>
    <row r="357" ht="15" customHeight="1">
      <c r="A357" t="inlineStr">
        <is>
          <t>A 66366-2019</t>
        </is>
      </c>
      <c r="B357" s="1" t="n">
        <v>43808</v>
      </c>
      <c r="C357" s="1" t="n">
        <v>45218</v>
      </c>
      <c r="D357" t="inlineStr">
        <is>
          <t>VÄSTERNORRLANDS LÄN</t>
        </is>
      </c>
      <c r="E357" t="inlineStr">
        <is>
          <t>SOLLEFTEÅ</t>
        </is>
      </c>
      <c r="G357" t="n">
        <v>2.9</v>
      </c>
      <c r="H357" t="n">
        <v>0</v>
      </c>
      <c r="I357" t="n">
        <v>1</v>
      </c>
      <c r="J357" t="n">
        <v>1</v>
      </c>
      <c r="K357" t="n">
        <v>0</v>
      </c>
      <c r="L357" t="n">
        <v>0</v>
      </c>
      <c r="M357" t="n">
        <v>0</v>
      </c>
      <c r="N357" t="n">
        <v>0</v>
      </c>
      <c r="O357" t="n">
        <v>1</v>
      </c>
      <c r="P357" t="n">
        <v>0</v>
      </c>
      <c r="Q357" t="n">
        <v>2</v>
      </c>
      <c r="R357" s="2" t="inlineStr">
        <is>
          <t>Lunglav
Stor aspticka</t>
        </is>
      </c>
      <c r="S357">
        <f>HYPERLINK("https://klasma.github.io/Logging_2283/artfynd/A 66366-2019 artfynd.xlsx", "A 66366-2019")</f>
        <v/>
      </c>
      <c r="T357">
        <f>HYPERLINK("https://klasma.github.io/Logging_2283/kartor/A 66366-2019 karta.png", "A 66366-2019")</f>
        <v/>
      </c>
      <c r="V357">
        <f>HYPERLINK("https://klasma.github.io/Logging_2283/klagomål/A 66366-2019 FSC-klagomål.docx", "A 66366-2019")</f>
        <v/>
      </c>
      <c r="W357">
        <f>HYPERLINK("https://klasma.github.io/Logging_2283/klagomålsmail/A 66366-2019 FSC-klagomål mail.docx", "A 66366-2019")</f>
        <v/>
      </c>
      <c r="X357">
        <f>HYPERLINK("https://klasma.github.io/Logging_2283/tillsyn/A 66366-2019 tillsynsbegäran.docx", "A 66366-2019")</f>
        <v/>
      </c>
      <c r="Y357">
        <f>HYPERLINK("https://klasma.github.io/Logging_2283/tillsynsmail/A 66366-2019 tillsynsbegäran mail.docx", "A 66366-2019")</f>
        <v/>
      </c>
    </row>
    <row r="358" ht="15" customHeight="1">
      <c r="A358" t="inlineStr">
        <is>
          <t>A 3610-2020</t>
        </is>
      </c>
      <c r="B358" s="1" t="n">
        <v>43853</v>
      </c>
      <c r="C358" s="1" t="n">
        <v>45218</v>
      </c>
      <c r="D358" t="inlineStr">
        <is>
          <t>VÄSTERNORRLANDS LÄN</t>
        </is>
      </c>
      <c r="E358" t="inlineStr">
        <is>
          <t>KRAMFORS</t>
        </is>
      </c>
      <c r="G358" t="n">
        <v>1.5</v>
      </c>
      <c r="H358" t="n">
        <v>0</v>
      </c>
      <c r="I358" t="n">
        <v>1</v>
      </c>
      <c r="J358" t="n">
        <v>0</v>
      </c>
      <c r="K358" t="n">
        <v>1</v>
      </c>
      <c r="L358" t="n">
        <v>0</v>
      </c>
      <c r="M358" t="n">
        <v>0</v>
      </c>
      <c r="N358" t="n">
        <v>0</v>
      </c>
      <c r="O358" t="n">
        <v>1</v>
      </c>
      <c r="P358" t="n">
        <v>1</v>
      </c>
      <c r="Q358" t="n">
        <v>2</v>
      </c>
      <c r="R358" s="2" t="inlineStr">
        <is>
          <t>Aspgelélav
Bårdlav</t>
        </is>
      </c>
      <c r="S358">
        <f>HYPERLINK("https://klasma.github.io/Logging_2282/artfynd/A 3610-2020 artfynd.xlsx", "A 3610-2020")</f>
        <v/>
      </c>
      <c r="T358">
        <f>HYPERLINK("https://klasma.github.io/Logging_2282/kartor/A 3610-2020 karta.png", "A 3610-2020")</f>
        <v/>
      </c>
      <c r="V358">
        <f>HYPERLINK("https://klasma.github.io/Logging_2282/klagomål/A 3610-2020 FSC-klagomål.docx", "A 3610-2020")</f>
        <v/>
      </c>
      <c r="W358">
        <f>HYPERLINK("https://klasma.github.io/Logging_2282/klagomålsmail/A 3610-2020 FSC-klagomål mail.docx", "A 3610-2020")</f>
        <v/>
      </c>
      <c r="X358">
        <f>HYPERLINK("https://klasma.github.io/Logging_2282/tillsyn/A 3610-2020 tillsynsbegäran.docx", "A 3610-2020")</f>
        <v/>
      </c>
      <c r="Y358">
        <f>HYPERLINK("https://klasma.github.io/Logging_2282/tillsynsmail/A 3610-2020 tillsynsbegäran mail.docx", "A 3610-2020")</f>
        <v/>
      </c>
    </row>
    <row r="359" ht="15" customHeight="1">
      <c r="A359" t="inlineStr">
        <is>
          <t>A 3991-2020</t>
        </is>
      </c>
      <c r="B359" s="1" t="n">
        <v>43856</v>
      </c>
      <c r="C359" s="1" t="n">
        <v>45218</v>
      </c>
      <c r="D359" t="inlineStr">
        <is>
          <t>VÄSTERNORRLANDS LÄN</t>
        </is>
      </c>
      <c r="E359" t="inlineStr">
        <is>
          <t>ÅNGE</t>
        </is>
      </c>
      <c r="G359" t="n">
        <v>5</v>
      </c>
      <c r="H359" t="n">
        <v>1</v>
      </c>
      <c r="I359" t="n">
        <v>0</v>
      </c>
      <c r="J359" t="n">
        <v>0</v>
      </c>
      <c r="K359" t="n">
        <v>0</v>
      </c>
      <c r="L359" t="n">
        <v>2</v>
      </c>
      <c r="M359" t="n">
        <v>0</v>
      </c>
      <c r="N359" t="n">
        <v>0</v>
      </c>
      <c r="O359" t="n">
        <v>2</v>
      </c>
      <c r="P359" t="n">
        <v>2</v>
      </c>
      <c r="Q359" t="n">
        <v>2</v>
      </c>
      <c r="R359" s="2" t="inlineStr">
        <is>
          <t>Mikroskapania
Timmerskapania</t>
        </is>
      </c>
      <c r="S359">
        <f>HYPERLINK("https://klasma.github.io/Logging_2260/artfynd/A 3991-2020 artfynd.xlsx", "A 3991-2020")</f>
        <v/>
      </c>
      <c r="T359">
        <f>HYPERLINK("https://klasma.github.io/Logging_2260/kartor/A 3991-2020 karta.png", "A 3991-2020")</f>
        <v/>
      </c>
      <c r="V359">
        <f>HYPERLINK("https://klasma.github.io/Logging_2260/klagomål/A 3991-2020 FSC-klagomål.docx", "A 3991-2020")</f>
        <v/>
      </c>
      <c r="W359">
        <f>HYPERLINK("https://klasma.github.io/Logging_2260/klagomålsmail/A 3991-2020 FSC-klagomål mail.docx", "A 3991-2020")</f>
        <v/>
      </c>
      <c r="X359">
        <f>HYPERLINK("https://klasma.github.io/Logging_2260/tillsyn/A 3991-2020 tillsynsbegäran.docx", "A 3991-2020")</f>
        <v/>
      </c>
      <c r="Y359">
        <f>HYPERLINK("https://klasma.github.io/Logging_2260/tillsynsmail/A 3991-2020 tillsynsbegäran mail.docx", "A 3991-2020")</f>
        <v/>
      </c>
    </row>
    <row r="360" ht="15" customHeight="1">
      <c r="A360" t="inlineStr">
        <is>
          <t>A 5314-2020</t>
        </is>
      </c>
      <c r="B360" s="1" t="n">
        <v>43857</v>
      </c>
      <c r="C360" s="1" t="n">
        <v>45218</v>
      </c>
      <c r="D360" t="inlineStr">
        <is>
          <t>VÄSTERNORRLANDS LÄN</t>
        </is>
      </c>
      <c r="E360" t="inlineStr">
        <is>
          <t>SOLLEFTEÅ</t>
        </is>
      </c>
      <c r="G360" t="n">
        <v>1.1</v>
      </c>
      <c r="H360" t="n">
        <v>0</v>
      </c>
      <c r="I360" t="n">
        <v>0</v>
      </c>
      <c r="J360" t="n">
        <v>2</v>
      </c>
      <c r="K360" t="n">
        <v>0</v>
      </c>
      <c r="L360" t="n">
        <v>0</v>
      </c>
      <c r="M360" t="n">
        <v>0</v>
      </c>
      <c r="N360" t="n">
        <v>0</v>
      </c>
      <c r="O360" t="n">
        <v>2</v>
      </c>
      <c r="P360" t="n">
        <v>0</v>
      </c>
      <c r="Q360" t="n">
        <v>2</v>
      </c>
      <c r="R360" s="2" t="inlineStr">
        <is>
          <t>Kolflarnlav
Vedskivlav</t>
        </is>
      </c>
      <c r="S360">
        <f>HYPERLINK("https://klasma.github.io/Logging_2283/artfynd/A 5314-2020 artfynd.xlsx", "A 5314-2020")</f>
        <v/>
      </c>
      <c r="T360">
        <f>HYPERLINK("https://klasma.github.io/Logging_2283/kartor/A 5314-2020 karta.png", "A 5314-2020")</f>
        <v/>
      </c>
      <c r="V360">
        <f>HYPERLINK("https://klasma.github.io/Logging_2283/klagomål/A 5314-2020 FSC-klagomål.docx", "A 5314-2020")</f>
        <v/>
      </c>
      <c r="W360">
        <f>HYPERLINK("https://klasma.github.io/Logging_2283/klagomålsmail/A 5314-2020 FSC-klagomål mail.docx", "A 5314-2020")</f>
        <v/>
      </c>
      <c r="X360">
        <f>HYPERLINK("https://klasma.github.io/Logging_2283/tillsyn/A 5314-2020 tillsynsbegäran.docx", "A 5314-2020")</f>
        <v/>
      </c>
      <c r="Y360">
        <f>HYPERLINK("https://klasma.github.io/Logging_2283/tillsynsmail/A 5314-2020 tillsynsbegäran mail.docx", "A 5314-2020")</f>
        <v/>
      </c>
    </row>
    <row r="361" ht="15" customHeight="1">
      <c r="A361" t="inlineStr">
        <is>
          <t>A 29505-2020</t>
        </is>
      </c>
      <c r="B361" s="1" t="n">
        <v>44004</v>
      </c>
      <c r="C361" s="1" t="n">
        <v>45218</v>
      </c>
      <c r="D361" t="inlineStr">
        <is>
          <t>VÄSTERNORRLANDS LÄN</t>
        </is>
      </c>
      <c r="E361" t="inlineStr">
        <is>
          <t>SOLLEFTEÅ</t>
        </is>
      </c>
      <c r="F361" t="inlineStr">
        <is>
          <t>SCA</t>
        </is>
      </c>
      <c r="G361" t="n">
        <v>1.9</v>
      </c>
      <c r="H361" t="n">
        <v>0</v>
      </c>
      <c r="I361" t="n">
        <v>1</v>
      </c>
      <c r="J361" t="n">
        <v>1</v>
      </c>
      <c r="K361" t="n">
        <v>0</v>
      </c>
      <c r="L361" t="n">
        <v>0</v>
      </c>
      <c r="M361" t="n">
        <v>0</v>
      </c>
      <c r="N361" t="n">
        <v>0</v>
      </c>
      <c r="O361" t="n">
        <v>1</v>
      </c>
      <c r="P361" t="n">
        <v>0</v>
      </c>
      <c r="Q361" t="n">
        <v>2</v>
      </c>
      <c r="R361" s="2" t="inlineStr">
        <is>
          <t>Lunglav
Bårdlav</t>
        </is>
      </c>
      <c r="S361">
        <f>HYPERLINK("https://klasma.github.io/Logging_2283/artfynd/A 29505-2020 artfynd.xlsx", "A 29505-2020")</f>
        <v/>
      </c>
      <c r="T361">
        <f>HYPERLINK("https://klasma.github.io/Logging_2283/kartor/A 29505-2020 karta.png", "A 29505-2020")</f>
        <v/>
      </c>
      <c r="V361">
        <f>HYPERLINK("https://klasma.github.io/Logging_2283/klagomål/A 29505-2020 FSC-klagomål.docx", "A 29505-2020")</f>
        <v/>
      </c>
      <c r="W361">
        <f>HYPERLINK("https://klasma.github.io/Logging_2283/klagomålsmail/A 29505-2020 FSC-klagomål mail.docx", "A 29505-2020")</f>
        <v/>
      </c>
      <c r="X361">
        <f>HYPERLINK("https://klasma.github.io/Logging_2283/tillsyn/A 29505-2020 tillsynsbegäran.docx", "A 29505-2020")</f>
        <v/>
      </c>
      <c r="Y361">
        <f>HYPERLINK("https://klasma.github.io/Logging_2283/tillsynsmail/A 29505-2020 tillsynsbegäran mail.docx", "A 29505-2020")</f>
        <v/>
      </c>
    </row>
    <row r="362" ht="15" customHeight="1">
      <c r="A362" t="inlineStr">
        <is>
          <t>A 34085-2020</t>
        </is>
      </c>
      <c r="B362" s="1" t="n">
        <v>44028</v>
      </c>
      <c r="C362" s="1" t="n">
        <v>45218</v>
      </c>
      <c r="D362" t="inlineStr">
        <is>
          <t>VÄSTERNORRLANDS LÄN</t>
        </is>
      </c>
      <c r="E362" t="inlineStr">
        <is>
          <t>SOLLEFTEÅ</t>
        </is>
      </c>
      <c r="F362" t="inlineStr">
        <is>
          <t>SCA</t>
        </is>
      </c>
      <c r="G362" t="n">
        <v>3.7</v>
      </c>
      <c r="H362" t="n">
        <v>1</v>
      </c>
      <c r="I362" t="n">
        <v>0</v>
      </c>
      <c r="J362" t="n">
        <v>1</v>
      </c>
      <c r="K362" t="n">
        <v>1</v>
      </c>
      <c r="L362" t="n">
        <v>0</v>
      </c>
      <c r="M362" t="n">
        <v>0</v>
      </c>
      <c r="N362" t="n">
        <v>0</v>
      </c>
      <c r="O362" t="n">
        <v>2</v>
      </c>
      <c r="P362" t="n">
        <v>1</v>
      </c>
      <c r="Q362" t="n">
        <v>2</v>
      </c>
      <c r="R362" s="2" t="inlineStr">
        <is>
          <t>Knärot
Lunglav</t>
        </is>
      </c>
      <c r="S362">
        <f>HYPERLINK("https://klasma.github.io/Logging_2283/artfynd/A 34085-2020 artfynd.xlsx", "A 34085-2020")</f>
        <v/>
      </c>
      <c r="T362">
        <f>HYPERLINK("https://klasma.github.io/Logging_2283/kartor/A 34085-2020 karta.png", "A 34085-2020")</f>
        <v/>
      </c>
      <c r="U362">
        <f>HYPERLINK("https://klasma.github.io/Logging_2283/knärot/A 34085-2020 karta knärot.png", "A 34085-2020")</f>
        <v/>
      </c>
      <c r="V362">
        <f>HYPERLINK("https://klasma.github.io/Logging_2283/klagomål/A 34085-2020 FSC-klagomål.docx", "A 34085-2020")</f>
        <v/>
      </c>
      <c r="W362">
        <f>HYPERLINK("https://klasma.github.io/Logging_2283/klagomålsmail/A 34085-2020 FSC-klagomål mail.docx", "A 34085-2020")</f>
        <v/>
      </c>
      <c r="X362">
        <f>HYPERLINK("https://klasma.github.io/Logging_2283/tillsyn/A 34085-2020 tillsynsbegäran.docx", "A 34085-2020")</f>
        <v/>
      </c>
      <c r="Y362">
        <f>HYPERLINK("https://klasma.github.io/Logging_2283/tillsynsmail/A 34085-2020 tillsynsbegäran mail.docx", "A 34085-2020")</f>
        <v/>
      </c>
    </row>
    <row r="363" ht="15" customHeight="1">
      <c r="A363" t="inlineStr">
        <is>
          <t>A 39080-2020</t>
        </is>
      </c>
      <c r="B363" s="1" t="n">
        <v>44062</v>
      </c>
      <c r="C363" s="1" t="n">
        <v>45218</v>
      </c>
      <c r="D363" t="inlineStr">
        <is>
          <t>VÄSTERNORRLANDS LÄN</t>
        </is>
      </c>
      <c r="E363" t="inlineStr">
        <is>
          <t>SUNDSVALL</t>
        </is>
      </c>
      <c r="F363" t="inlineStr">
        <is>
          <t>SCA</t>
        </is>
      </c>
      <c r="G363" t="n">
        <v>4.5</v>
      </c>
      <c r="H363" t="n">
        <v>1</v>
      </c>
      <c r="I363" t="n">
        <v>0</v>
      </c>
      <c r="J363" t="n">
        <v>1</v>
      </c>
      <c r="K363" t="n">
        <v>0</v>
      </c>
      <c r="L363" t="n">
        <v>0</v>
      </c>
      <c r="M363" t="n">
        <v>0</v>
      </c>
      <c r="N363" t="n">
        <v>0</v>
      </c>
      <c r="O363" t="n">
        <v>1</v>
      </c>
      <c r="P363" t="n">
        <v>0</v>
      </c>
      <c r="Q363" t="n">
        <v>2</v>
      </c>
      <c r="R363" s="2" t="inlineStr">
        <is>
          <t>Skrovellav
Blåsippa</t>
        </is>
      </c>
      <c r="S363">
        <f>HYPERLINK("https://klasma.github.io/Logging_2281/artfynd/A 39080-2020 artfynd.xlsx", "A 39080-2020")</f>
        <v/>
      </c>
      <c r="T363">
        <f>HYPERLINK("https://klasma.github.io/Logging_2281/kartor/A 39080-2020 karta.png", "A 39080-2020")</f>
        <v/>
      </c>
      <c r="V363">
        <f>HYPERLINK("https://klasma.github.io/Logging_2281/klagomål/A 39080-2020 FSC-klagomål.docx", "A 39080-2020")</f>
        <v/>
      </c>
      <c r="W363">
        <f>HYPERLINK("https://klasma.github.io/Logging_2281/klagomålsmail/A 39080-2020 FSC-klagomål mail.docx", "A 39080-2020")</f>
        <v/>
      </c>
      <c r="X363">
        <f>HYPERLINK("https://klasma.github.io/Logging_2281/tillsyn/A 39080-2020 tillsynsbegäran.docx", "A 39080-2020")</f>
        <v/>
      </c>
      <c r="Y363">
        <f>HYPERLINK("https://klasma.github.io/Logging_2281/tillsynsmail/A 39080-2020 tillsynsbegäran mail.docx", "A 39080-2020")</f>
        <v/>
      </c>
    </row>
    <row r="364" ht="15" customHeight="1">
      <c r="A364" t="inlineStr">
        <is>
          <t>A 46130-2020</t>
        </is>
      </c>
      <c r="B364" s="1" t="n">
        <v>44091</v>
      </c>
      <c r="C364" s="1" t="n">
        <v>45218</v>
      </c>
      <c r="D364" t="inlineStr">
        <is>
          <t>VÄSTERNORRLANDS LÄN</t>
        </is>
      </c>
      <c r="E364" t="inlineStr">
        <is>
          <t>ÅNGE</t>
        </is>
      </c>
      <c r="F364" t="inlineStr">
        <is>
          <t>SCA</t>
        </is>
      </c>
      <c r="G364" t="n">
        <v>8.4</v>
      </c>
      <c r="H364" t="n">
        <v>0</v>
      </c>
      <c r="I364" t="n">
        <v>1</v>
      </c>
      <c r="J364" t="n">
        <v>1</v>
      </c>
      <c r="K364" t="n">
        <v>0</v>
      </c>
      <c r="L364" t="n">
        <v>0</v>
      </c>
      <c r="M364" t="n">
        <v>0</v>
      </c>
      <c r="N364" t="n">
        <v>0</v>
      </c>
      <c r="O364" t="n">
        <v>1</v>
      </c>
      <c r="P364" t="n">
        <v>0</v>
      </c>
      <c r="Q364" t="n">
        <v>2</v>
      </c>
      <c r="R364" s="2" t="inlineStr">
        <is>
          <t>Ullticka
Kambräken</t>
        </is>
      </c>
      <c r="S364">
        <f>HYPERLINK("https://klasma.github.io/Logging_2260/artfynd/A 46130-2020 artfynd.xlsx", "A 46130-2020")</f>
        <v/>
      </c>
      <c r="T364">
        <f>HYPERLINK("https://klasma.github.io/Logging_2260/kartor/A 46130-2020 karta.png", "A 46130-2020")</f>
        <v/>
      </c>
      <c r="V364">
        <f>HYPERLINK("https://klasma.github.io/Logging_2260/klagomål/A 46130-2020 FSC-klagomål.docx", "A 46130-2020")</f>
        <v/>
      </c>
      <c r="W364">
        <f>HYPERLINK("https://klasma.github.io/Logging_2260/klagomålsmail/A 46130-2020 FSC-klagomål mail.docx", "A 46130-2020")</f>
        <v/>
      </c>
      <c r="X364">
        <f>HYPERLINK("https://klasma.github.io/Logging_2260/tillsyn/A 46130-2020 tillsynsbegäran.docx", "A 46130-2020")</f>
        <v/>
      </c>
      <c r="Y364">
        <f>HYPERLINK("https://klasma.github.io/Logging_2260/tillsynsmail/A 46130-2020 tillsynsbegäran mail.docx", "A 46130-2020")</f>
        <v/>
      </c>
    </row>
    <row r="365" ht="15" customHeight="1">
      <c r="A365" t="inlineStr">
        <is>
          <t>A 50336-2020</t>
        </is>
      </c>
      <c r="B365" s="1" t="n">
        <v>44110</v>
      </c>
      <c r="C365" s="1" t="n">
        <v>45218</v>
      </c>
      <c r="D365" t="inlineStr">
        <is>
          <t>VÄSTERNORRLANDS LÄN</t>
        </is>
      </c>
      <c r="E365" t="inlineStr">
        <is>
          <t>SUNDSVALL</t>
        </is>
      </c>
      <c r="F365" t="inlineStr">
        <is>
          <t>Kommuner</t>
        </is>
      </c>
      <c r="G365" t="n">
        <v>6.9</v>
      </c>
      <c r="H365" t="n">
        <v>2</v>
      </c>
      <c r="I365" t="n">
        <v>0</v>
      </c>
      <c r="J365" t="n">
        <v>2</v>
      </c>
      <c r="K365" t="n">
        <v>0</v>
      </c>
      <c r="L365" t="n">
        <v>0</v>
      </c>
      <c r="M365" t="n">
        <v>0</v>
      </c>
      <c r="N365" t="n">
        <v>0</v>
      </c>
      <c r="O365" t="n">
        <v>2</v>
      </c>
      <c r="P365" t="n">
        <v>0</v>
      </c>
      <c r="Q365" t="n">
        <v>2</v>
      </c>
      <c r="R365" s="2" t="inlineStr">
        <is>
          <t>Kråka
Rödvingetrast</t>
        </is>
      </c>
      <c r="S365">
        <f>HYPERLINK("https://klasma.github.io/Logging_2281/artfynd/A 50336-2020 artfynd.xlsx", "A 50336-2020")</f>
        <v/>
      </c>
      <c r="T365">
        <f>HYPERLINK("https://klasma.github.io/Logging_2281/kartor/A 50336-2020 karta.png", "A 50336-2020")</f>
        <v/>
      </c>
      <c r="V365">
        <f>HYPERLINK("https://klasma.github.io/Logging_2281/klagomål/A 50336-2020 FSC-klagomål.docx", "A 50336-2020")</f>
        <v/>
      </c>
      <c r="W365">
        <f>HYPERLINK("https://klasma.github.io/Logging_2281/klagomålsmail/A 50336-2020 FSC-klagomål mail.docx", "A 50336-2020")</f>
        <v/>
      </c>
      <c r="X365">
        <f>HYPERLINK("https://klasma.github.io/Logging_2281/tillsyn/A 50336-2020 tillsynsbegäran.docx", "A 50336-2020")</f>
        <v/>
      </c>
      <c r="Y365">
        <f>HYPERLINK("https://klasma.github.io/Logging_2281/tillsynsmail/A 50336-2020 tillsynsbegäran mail.docx", "A 50336-2020")</f>
        <v/>
      </c>
    </row>
    <row r="366" ht="15" customHeight="1">
      <c r="A366" t="inlineStr">
        <is>
          <t>A 51694-2020</t>
        </is>
      </c>
      <c r="B366" s="1" t="n">
        <v>44113</v>
      </c>
      <c r="C366" s="1" t="n">
        <v>45218</v>
      </c>
      <c r="D366" t="inlineStr">
        <is>
          <t>VÄSTERNORRLANDS LÄN</t>
        </is>
      </c>
      <c r="E366" t="inlineStr">
        <is>
          <t>ÅNGE</t>
        </is>
      </c>
      <c r="F366" t="inlineStr">
        <is>
          <t>SCA</t>
        </is>
      </c>
      <c r="G366" t="n">
        <v>8.300000000000001</v>
      </c>
      <c r="H366" t="n">
        <v>0</v>
      </c>
      <c r="I366" t="n">
        <v>0</v>
      </c>
      <c r="J366" t="n">
        <v>2</v>
      </c>
      <c r="K366" t="n">
        <v>0</v>
      </c>
      <c r="L366" t="n">
        <v>0</v>
      </c>
      <c r="M366" t="n">
        <v>0</v>
      </c>
      <c r="N366" t="n">
        <v>0</v>
      </c>
      <c r="O366" t="n">
        <v>2</v>
      </c>
      <c r="P366" t="n">
        <v>0</v>
      </c>
      <c r="Q366" t="n">
        <v>2</v>
      </c>
      <c r="R366" s="2" t="inlineStr">
        <is>
          <t>Harticka
Ullticka</t>
        </is>
      </c>
      <c r="S366">
        <f>HYPERLINK("https://klasma.github.io/Logging_2260/artfynd/A 51694-2020 artfynd.xlsx", "A 51694-2020")</f>
        <v/>
      </c>
      <c r="T366">
        <f>HYPERLINK("https://klasma.github.io/Logging_2260/kartor/A 51694-2020 karta.png", "A 51694-2020")</f>
        <v/>
      </c>
      <c r="V366">
        <f>HYPERLINK("https://klasma.github.io/Logging_2260/klagomål/A 51694-2020 FSC-klagomål.docx", "A 51694-2020")</f>
        <v/>
      </c>
      <c r="W366">
        <f>HYPERLINK("https://klasma.github.io/Logging_2260/klagomålsmail/A 51694-2020 FSC-klagomål mail.docx", "A 51694-2020")</f>
        <v/>
      </c>
      <c r="X366">
        <f>HYPERLINK("https://klasma.github.io/Logging_2260/tillsyn/A 51694-2020 tillsynsbegäran.docx", "A 51694-2020")</f>
        <v/>
      </c>
      <c r="Y366">
        <f>HYPERLINK("https://klasma.github.io/Logging_2260/tillsynsmail/A 51694-2020 tillsynsbegäran mail.docx", "A 51694-2020")</f>
        <v/>
      </c>
    </row>
    <row r="367" ht="15" customHeight="1">
      <c r="A367" t="inlineStr">
        <is>
          <t>A 57370-2020</t>
        </is>
      </c>
      <c r="B367" s="1" t="n">
        <v>44139</v>
      </c>
      <c r="C367" s="1" t="n">
        <v>45218</v>
      </c>
      <c r="D367" t="inlineStr">
        <is>
          <t>VÄSTERNORRLANDS LÄN</t>
        </is>
      </c>
      <c r="E367" t="inlineStr">
        <is>
          <t>HÄRNÖSAND</t>
        </is>
      </c>
      <c r="G367" t="n">
        <v>0.4</v>
      </c>
      <c r="H367" t="n">
        <v>0</v>
      </c>
      <c r="I367" t="n">
        <v>0</v>
      </c>
      <c r="J367" t="n">
        <v>2</v>
      </c>
      <c r="K367" t="n">
        <v>0</v>
      </c>
      <c r="L367" t="n">
        <v>0</v>
      </c>
      <c r="M367" t="n">
        <v>0</v>
      </c>
      <c r="N367" t="n">
        <v>0</v>
      </c>
      <c r="O367" t="n">
        <v>2</v>
      </c>
      <c r="P367" t="n">
        <v>0</v>
      </c>
      <c r="Q367" t="n">
        <v>2</v>
      </c>
      <c r="R367" s="2" t="inlineStr">
        <is>
          <t>Garnlav
Granticka</t>
        </is>
      </c>
      <c r="S367">
        <f>HYPERLINK("https://klasma.github.io/Logging_2280/artfynd/A 57370-2020 artfynd.xlsx", "A 57370-2020")</f>
        <v/>
      </c>
      <c r="T367">
        <f>HYPERLINK("https://klasma.github.io/Logging_2280/kartor/A 57370-2020 karta.png", "A 57370-2020")</f>
        <v/>
      </c>
      <c r="V367">
        <f>HYPERLINK("https://klasma.github.io/Logging_2280/klagomål/A 57370-2020 FSC-klagomål.docx", "A 57370-2020")</f>
        <v/>
      </c>
      <c r="W367">
        <f>HYPERLINK("https://klasma.github.io/Logging_2280/klagomålsmail/A 57370-2020 FSC-klagomål mail.docx", "A 57370-2020")</f>
        <v/>
      </c>
      <c r="X367">
        <f>HYPERLINK("https://klasma.github.io/Logging_2280/tillsyn/A 57370-2020 tillsynsbegäran.docx", "A 57370-2020")</f>
        <v/>
      </c>
      <c r="Y367">
        <f>HYPERLINK("https://klasma.github.io/Logging_2280/tillsynsmail/A 57370-2020 tillsynsbegäran mail.docx", "A 57370-2020")</f>
        <v/>
      </c>
    </row>
    <row r="368" ht="15" customHeight="1">
      <c r="A368" t="inlineStr">
        <is>
          <t>A 58902-2020</t>
        </is>
      </c>
      <c r="B368" s="1" t="n">
        <v>44146</v>
      </c>
      <c r="C368" s="1" t="n">
        <v>45218</v>
      </c>
      <c r="D368" t="inlineStr">
        <is>
          <t>VÄSTERNORRLANDS LÄN</t>
        </is>
      </c>
      <c r="E368" t="inlineStr">
        <is>
          <t>ÅNGE</t>
        </is>
      </c>
      <c r="G368" t="n">
        <v>8.199999999999999</v>
      </c>
      <c r="H368" t="n">
        <v>0</v>
      </c>
      <c r="I368" t="n">
        <v>1</v>
      </c>
      <c r="J368" t="n">
        <v>1</v>
      </c>
      <c r="K368" t="n">
        <v>0</v>
      </c>
      <c r="L368" t="n">
        <v>0</v>
      </c>
      <c r="M368" t="n">
        <v>0</v>
      </c>
      <c r="N368" t="n">
        <v>0</v>
      </c>
      <c r="O368" t="n">
        <v>1</v>
      </c>
      <c r="P368" t="n">
        <v>0</v>
      </c>
      <c r="Q368" t="n">
        <v>2</v>
      </c>
      <c r="R368" s="2" t="inlineStr">
        <is>
          <t>Ullticka
Vedticka</t>
        </is>
      </c>
      <c r="S368">
        <f>HYPERLINK("https://klasma.github.io/Logging_2260/artfynd/A 58902-2020 artfynd.xlsx", "A 58902-2020")</f>
        <v/>
      </c>
      <c r="T368">
        <f>HYPERLINK("https://klasma.github.io/Logging_2260/kartor/A 58902-2020 karta.png", "A 58902-2020")</f>
        <v/>
      </c>
      <c r="V368">
        <f>HYPERLINK("https://klasma.github.io/Logging_2260/klagomål/A 58902-2020 FSC-klagomål.docx", "A 58902-2020")</f>
        <v/>
      </c>
      <c r="W368">
        <f>HYPERLINK("https://klasma.github.io/Logging_2260/klagomålsmail/A 58902-2020 FSC-klagomål mail.docx", "A 58902-2020")</f>
        <v/>
      </c>
      <c r="X368">
        <f>HYPERLINK("https://klasma.github.io/Logging_2260/tillsyn/A 58902-2020 tillsynsbegäran.docx", "A 58902-2020")</f>
        <v/>
      </c>
      <c r="Y368">
        <f>HYPERLINK("https://klasma.github.io/Logging_2260/tillsynsmail/A 58902-2020 tillsynsbegäran mail.docx", "A 58902-2020")</f>
        <v/>
      </c>
    </row>
    <row r="369" ht="15" customHeight="1">
      <c r="A369" t="inlineStr">
        <is>
          <t>A 60042-2020</t>
        </is>
      </c>
      <c r="B369" s="1" t="n">
        <v>44151</v>
      </c>
      <c r="C369" s="1" t="n">
        <v>45218</v>
      </c>
      <c r="D369" t="inlineStr">
        <is>
          <t>VÄSTERNORRLANDS LÄN</t>
        </is>
      </c>
      <c r="E369" t="inlineStr">
        <is>
          <t>ÖRNSKÖLDSVIK</t>
        </is>
      </c>
      <c r="F369" t="inlineStr">
        <is>
          <t>SCA</t>
        </is>
      </c>
      <c r="G369" t="n">
        <v>10.6</v>
      </c>
      <c r="H369" t="n">
        <v>0</v>
      </c>
      <c r="I369" t="n">
        <v>0</v>
      </c>
      <c r="J369" t="n">
        <v>2</v>
      </c>
      <c r="K369" t="n">
        <v>0</v>
      </c>
      <c r="L369" t="n">
        <v>0</v>
      </c>
      <c r="M369" t="n">
        <v>0</v>
      </c>
      <c r="N369" t="n">
        <v>0</v>
      </c>
      <c r="O369" t="n">
        <v>2</v>
      </c>
      <c r="P369" t="n">
        <v>0</v>
      </c>
      <c r="Q369" t="n">
        <v>2</v>
      </c>
      <c r="R369" s="2" t="inlineStr">
        <is>
          <t>Gammelgransskål
Granticka</t>
        </is>
      </c>
      <c r="S369">
        <f>HYPERLINK("https://klasma.github.io/Logging_2284/artfynd/A 60042-2020 artfynd.xlsx", "A 60042-2020")</f>
        <v/>
      </c>
      <c r="T369">
        <f>HYPERLINK("https://klasma.github.io/Logging_2284/kartor/A 60042-2020 karta.png", "A 60042-2020")</f>
        <v/>
      </c>
      <c r="V369">
        <f>HYPERLINK("https://klasma.github.io/Logging_2284/klagomål/A 60042-2020 FSC-klagomål.docx", "A 60042-2020")</f>
        <v/>
      </c>
      <c r="W369">
        <f>HYPERLINK("https://klasma.github.io/Logging_2284/klagomålsmail/A 60042-2020 FSC-klagomål mail.docx", "A 60042-2020")</f>
        <v/>
      </c>
      <c r="X369">
        <f>HYPERLINK("https://klasma.github.io/Logging_2284/tillsyn/A 60042-2020 tillsynsbegäran.docx", "A 60042-2020")</f>
        <v/>
      </c>
      <c r="Y369">
        <f>HYPERLINK("https://klasma.github.io/Logging_2284/tillsynsmail/A 60042-2020 tillsynsbegäran mail.docx", "A 60042-2020")</f>
        <v/>
      </c>
    </row>
    <row r="370" ht="15" customHeight="1">
      <c r="A370" t="inlineStr">
        <is>
          <t>A 60400-2020</t>
        </is>
      </c>
      <c r="B370" s="1" t="n">
        <v>44152</v>
      </c>
      <c r="C370" s="1" t="n">
        <v>45218</v>
      </c>
      <c r="D370" t="inlineStr">
        <is>
          <t>VÄSTERNORRLANDS LÄN</t>
        </is>
      </c>
      <c r="E370" t="inlineStr">
        <is>
          <t>SUNDSVALL</t>
        </is>
      </c>
      <c r="F370" t="inlineStr">
        <is>
          <t>SCA</t>
        </is>
      </c>
      <c r="G370" t="n">
        <v>1.5</v>
      </c>
      <c r="H370" t="n">
        <v>0</v>
      </c>
      <c r="I370" t="n">
        <v>0</v>
      </c>
      <c r="J370" t="n">
        <v>2</v>
      </c>
      <c r="K370" t="n">
        <v>0</v>
      </c>
      <c r="L370" t="n">
        <v>0</v>
      </c>
      <c r="M370" t="n">
        <v>0</v>
      </c>
      <c r="N370" t="n">
        <v>0</v>
      </c>
      <c r="O370" t="n">
        <v>2</v>
      </c>
      <c r="P370" t="n">
        <v>0</v>
      </c>
      <c r="Q370" t="n">
        <v>2</v>
      </c>
      <c r="R370" s="2" t="inlineStr">
        <is>
          <t>Garnlav
Lunglav</t>
        </is>
      </c>
      <c r="S370">
        <f>HYPERLINK("https://klasma.github.io/Logging_2281/artfynd/A 60400-2020 artfynd.xlsx", "A 60400-2020")</f>
        <v/>
      </c>
      <c r="T370">
        <f>HYPERLINK("https://klasma.github.io/Logging_2281/kartor/A 60400-2020 karta.png", "A 60400-2020")</f>
        <v/>
      </c>
      <c r="V370">
        <f>HYPERLINK("https://klasma.github.io/Logging_2281/klagomål/A 60400-2020 FSC-klagomål.docx", "A 60400-2020")</f>
        <v/>
      </c>
      <c r="W370">
        <f>HYPERLINK("https://klasma.github.io/Logging_2281/klagomålsmail/A 60400-2020 FSC-klagomål mail.docx", "A 60400-2020")</f>
        <v/>
      </c>
      <c r="X370">
        <f>HYPERLINK("https://klasma.github.io/Logging_2281/tillsyn/A 60400-2020 tillsynsbegäran.docx", "A 60400-2020")</f>
        <v/>
      </c>
      <c r="Y370">
        <f>HYPERLINK("https://klasma.github.io/Logging_2281/tillsynsmail/A 60400-2020 tillsynsbegäran mail.docx", "A 60400-2020")</f>
        <v/>
      </c>
    </row>
    <row r="371" ht="15" customHeight="1">
      <c r="A371" t="inlineStr">
        <is>
          <t>A 716-2021</t>
        </is>
      </c>
      <c r="B371" s="1" t="n">
        <v>44204</v>
      </c>
      <c r="C371" s="1" t="n">
        <v>45218</v>
      </c>
      <c r="D371" t="inlineStr">
        <is>
          <t>VÄSTERNORRLANDS LÄN</t>
        </is>
      </c>
      <c r="E371" t="inlineStr">
        <is>
          <t>KRAMFORS</t>
        </is>
      </c>
      <c r="G371" t="n">
        <v>1.2</v>
      </c>
      <c r="H371" t="n">
        <v>1</v>
      </c>
      <c r="I371" t="n">
        <v>2</v>
      </c>
      <c r="J371" t="n">
        <v>0</v>
      </c>
      <c r="K371" t="n">
        <v>0</v>
      </c>
      <c r="L371" t="n">
        <v>0</v>
      </c>
      <c r="M371" t="n">
        <v>0</v>
      </c>
      <c r="N371" t="n">
        <v>0</v>
      </c>
      <c r="O371" t="n">
        <v>0</v>
      </c>
      <c r="P371" t="n">
        <v>0</v>
      </c>
      <c r="Q371" t="n">
        <v>2</v>
      </c>
      <c r="R371" s="2" t="inlineStr">
        <is>
          <t>Grön sköldmossa
Stubbspretmossa</t>
        </is>
      </c>
      <c r="S371">
        <f>HYPERLINK("https://klasma.github.io/Logging_2282/artfynd/A 716-2021 artfynd.xlsx", "A 716-2021")</f>
        <v/>
      </c>
      <c r="T371">
        <f>HYPERLINK("https://klasma.github.io/Logging_2282/kartor/A 716-2021 karta.png", "A 716-2021")</f>
        <v/>
      </c>
      <c r="V371">
        <f>HYPERLINK("https://klasma.github.io/Logging_2282/klagomål/A 716-2021 FSC-klagomål.docx", "A 716-2021")</f>
        <v/>
      </c>
      <c r="W371">
        <f>HYPERLINK("https://klasma.github.io/Logging_2282/klagomålsmail/A 716-2021 FSC-klagomål mail.docx", "A 716-2021")</f>
        <v/>
      </c>
      <c r="X371">
        <f>HYPERLINK("https://klasma.github.io/Logging_2282/tillsyn/A 716-2021 tillsynsbegäran.docx", "A 716-2021")</f>
        <v/>
      </c>
      <c r="Y371">
        <f>HYPERLINK("https://klasma.github.io/Logging_2282/tillsynsmail/A 716-2021 tillsynsbegäran mail.docx", "A 716-2021")</f>
        <v/>
      </c>
    </row>
    <row r="372" ht="15" customHeight="1">
      <c r="A372" t="inlineStr">
        <is>
          <t>A 2309-2021</t>
        </is>
      </c>
      <c r="B372" s="1" t="n">
        <v>44213</v>
      </c>
      <c r="C372" s="1" t="n">
        <v>45218</v>
      </c>
      <c r="D372" t="inlineStr">
        <is>
          <t>VÄSTERNORRLANDS LÄN</t>
        </is>
      </c>
      <c r="E372" t="inlineStr">
        <is>
          <t>SOLLEFTEÅ</t>
        </is>
      </c>
      <c r="G372" t="n">
        <v>2.1</v>
      </c>
      <c r="H372" t="n">
        <v>1</v>
      </c>
      <c r="I372" t="n">
        <v>0</v>
      </c>
      <c r="J372" t="n">
        <v>2</v>
      </c>
      <c r="K372" t="n">
        <v>0</v>
      </c>
      <c r="L372" t="n">
        <v>0</v>
      </c>
      <c r="M372" t="n">
        <v>0</v>
      </c>
      <c r="N372" t="n">
        <v>0</v>
      </c>
      <c r="O372" t="n">
        <v>2</v>
      </c>
      <c r="P372" t="n">
        <v>0</v>
      </c>
      <c r="Q372" t="n">
        <v>2</v>
      </c>
      <c r="R372" s="2" t="inlineStr">
        <is>
          <t>Tretåig hackspett
Ullticka</t>
        </is>
      </c>
      <c r="S372">
        <f>HYPERLINK("https://klasma.github.io/Logging_2283/artfynd/A 2309-2021 artfynd.xlsx", "A 2309-2021")</f>
        <v/>
      </c>
      <c r="T372">
        <f>HYPERLINK("https://klasma.github.io/Logging_2283/kartor/A 2309-2021 karta.png", "A 2309-2021")</f>
        <v/>
      </c>
      <c r="V372">
        <f>HYPERLINK("https://klasma.github.io/Logging_2283/klagomål/A 2309-2021 FSC-klagomål.docx", "A 2309-2021")</f>
        <v/>
      </c>
      <c r="W372">
        <f>HYPERLINK("https://klasma.github.io/Logging_2283/klagomålsmail/A 2309-2021 FSC-klagomål mail.docx", "A 2309-2021")</f>
        <v/>
      </c>
      <c r="X372">
        <f>HYPERLINK("https://klasma.github.io/Logging_2283/tillsyn/A 2309-2021 tillsynsbegäran.docx", "A 2309-2021")</f>
        <v/>
      </c>
      <c r="Y372">
        <f>HYPERLINK("https://klasma.github.io/Logging_2283/tillsynsmail/A 2309-2021 tillsynsbegäran mail.docx", "A 2309-2021")</f>
        <v/>
      </c>
    </row>
    <row r="373" ht="15" customHeight="1">
      <c r="A373" t="inlineStr">
        <is>
          <t>A 7567-2021</t>
        </is>
      </c>
      <c r="B373" s="1" t="n">
        <v>44239</v>
      </c>
      <c r="C373" s="1" t="n">
        <v>45218</v>
      </c>
      <c r="D373" t="inlineStr">
        <is>
          <t>VÄSTERNORRLANDS LÄN</t>
        </is>
      </c>
      <c r="E373" t="inlineStr">
        <is>
          <t>SUNDSVALL</t>
        </is>
      </c>
      <c r="G373" t="n">
        <v>6.8</v>
      </c>
      <c r="H373" t="n">
        <v>0</v>
      </c>
      <c r="I373" t="n">
        <v>1</v>
      </c>
      <c r="J373" t="n">
        <v>1</v>
      </c>
      <c r="K373" t="n">
        <v>0</v>
      </c>
      <c r="L373" t="n">
        <v>0</v>
      </c>
      <c r="M373" t="n">
        <v>0</v>
      </c>
      <c r="N373" t="n">
        <v>0</v>
      </c>
      <c r="O373" t="n">
        <v>1</v>
      </c>
      <c r="P373" t="n">
        <v>0</v>
      </c>
      <c r="Q373" t="n">
        <v>2</v>
      </c>
      <c r="R373" s="2" t="inlineStr">
        <is>
          <t>Lunglav
Vedticka</t>
        </is>
      </c>
      <c r="S373">
        <f>HYPERLINK("https://klasma.github.io/Logging_2281/artfynd/A 7567-2021 artfynd.xlsx", "A 7567-2021")</f>
        <v/>
      </c>
      <c r="T373">
        <f>HYPERLINK("https://klasma.github.io/Logging_2281/kartor/A 7567-2021 karta.png", "A 7567-2021")</f>
        <v/>
      </c>
      <c r="V373">
        <f>HYPERLINK("https://klasma.github.io/Logging_2281/klagomål/A 7567-2021 FSC-klagomål.docx", "A 7567-2021")</f>
        <v/>
      </c>
      <c r="W373">
        <f>HYPERLINK("https://klasma.github.io/Logging_2281/klagomålsmail/A 7567-2021 FSC-klagomål mail.docx", "A 7567-2021")</f>
        <v/>
      </c>
      <c r="X373">
        <f>HYPERLINK("https://klasma.github.io/Logging_2281/tillsyn/A 7567-2021 tillsynsbegäran.docx", "A 7567-2021")</f>
        <v/>
      </c>
      <c r="Y373">
        <f>HYPERLINK("https://klasma.github.io/Logging_2281/tillsynsmail/A 7567-2021 tillsynsbegäran mail.docx", "A 7567-2021")</f>
        <v/>
      </c>
    </row>
    <row r="374" ht="15" customHeight="1">
      <c r="A374" t="inlineStr">
        <is>
          <t>A 17601-2021</t>
        </is>
      </c>
      <c r="B374" s="1" t="n">
        <v>44299</v>
      </c>
      <c r="C374" s="1" t="n">
        <v>45218</v>
      </c>
      <c r="D374" t="inlineStr">
        <is>
          <t>VÄSTERNORRLANDS LÄN</t>
        </is>
      </c>
      <c r="E374" t="inlineStr">
        <is>
          <t>KRAMFORS</t>
        </is>
      </c>
      <c r="G374" t="n">
        <v>4.8</v>
      </c>
      <c r="H374" t="n">
        <v>0</v>
      </c>
      <c r="I374" t="n">
        <v>0</v>
      </c>
      <c r="J374" t="n">
        <v>2</v>
      </c>
      <c r="K374" t="n">
        <v>0</v>
      </c>
      <c r="L374" t="n">
        <v>0</v>
      </c>
      <c r="M374" t="n">
        <v>0</v>
      </c>
      <c r="N374" t="n">
        <v>0</v>
      </c>
      <c r="O374" t="n">
        <v>2</v>
      </c>
      <c r="P374" t="n">
        <v>0</v>
      </c>
      <c r="Q374" t="n">
        <v>2</v>
      </c>
      <c r="R374" s="2" t="inlineStr">
        <is>
          <t>Rosenticka
Ullticka</t>
        </is>
      </c>
      <c r="S374">
        <f>HYPERLINK("https://klasma.github.io/Logging_2282/artfynd/A 17601-2021 artfynd.xlsx", "A 17601-2021")</f>
        <v/>
      </c>
      <c r="T374">
        <f>HYPERLINK("https://klasma.github.io/Logging_2282/kartor/A 17601-2021 karta.png", "A 17601-2021")</f>
        <v/>
      </c>
      <c r="V374">
        <f>HYPERLINK("https://klasma.github.io/Logging_2282/klagomål/A 17601-2021 FSC-klagomål.docx", "A 17601-2021")</f>
        <v/>
      </c>
      <c r="W374">
        <f>HYPERLINK("https://klasma.github.io/Logging_2282/klagomålsmail/A 17601-2021 FSC-klagomål mail.docx", "A 17601-2021")</f>
        <v/>
      </c>
      <c r="X374">
        <f>HYPERLINK("https://klasma.github.io/Logging_2282/tillsyn/A 17601-2021 tillsynsbegäran.docx", "A 17601-2021")</f>
        <v/>
      </c>
      <c r="Y374">
        <f>HYPERLINK("https://klasma.github.io/Logging_2282/tillsynsmail/A 17601-2021 tillsynsbegäran mail.docx", "A 17601-2021")</f>
        <v/>
      </c>
    </row>
    <row r="375" ht="15" customHeight="1">
      <c r="A375" t="inlineStr">
        <is>
          <t>A 18510-2021</t>
        </is>
      </c>
      <c r="B375" s="1" t="n">
        <v>44306</v>
      </c>
      <c r="C375" s="1" t="n">
        <v>45218</v>
      </c>
      <c r="D375" t="inlineStr">
        <is>
          <t>VÄSTERNORRLANDS LÄN</t>
        </is>
      </c>
      <c r="E375" t="inlineStr">
        <is>
          <t>TIMRÅ</t>
        </is>
      </c>
      <c r="G375" t="n">
        <v>28</v>
      </c>
      <c r="H375" t="n">
        <v>1</v>
      </c>
      <c r="I375" t="n">
        <v>1</v>
      </c>
      <c r="J375" t="n">
        <v>1</v>
      </c>
      <c r="K375" t="n">
        <v>0</v>
      </c>
      <c r="L375" t="n">
        <v>0</v>
      </c>
      <c r="M375" t="n">
        <v>0</v>
      </c>
      <c r="N375" t="n">
        <v>0</v>
      </c>
      <c r="O375" t="n">
        <v>1</v>
      </c>
      <c r="P375" t="n">
        <v>0</v>
      </c>
      <c r="Q375" t="n">
        <v>2</v>
      </c>
      <c r="R375" s="2" t="inlineStr">
        <is>
          <t>Sötgräs
Strutbräken</t>
        </is>
      </c>
      <c r="S375">
        <f>HYPERLINK("https://klasma.github.io/Logging_2262/artfynd/A 18510-2021 artfynd.xlsx", "A 18510-2021")</f>
        <v/>
      </c>
      <c r="T375">
        <f>HYPERLINK("https://klasma.github.io/Logging_2262/kartor/A 18510-2021 karta.png", "A 18510-2021")</f>
        <v/>
      </c>
      <c r="V375">
        <f>HYPERLINK("https://klasma.github.io/Logging_2262/klagomål/A 18510-2021 FSC-klagomål.docx", "A 18510-2021")</f>
        <v/>
      </c>
      <c r="W375">
        <f>HYPERLINK("https://klasma.github.io/Logging_2262/klagomålsmail/A 18510-2021 FSC-klagomål mail.docx", "A 18510-2021")</f>
        <v/>
      </c>
      <c r="X375">
        <f>HYPERLINK("https://klasma.github.io/Logging_2262/tillsyn/A 18510-2021 tillsynsbegäran.docx", "A 18510-2021")</f>
        <v/>
      </c>
      <c r="Y375">
        <f>HYPERLINK("https://klasma.github.io/Logging_2262/tillsynsmail/A 18510-2021 tillsynsbegäran mail.docx", "A 18510-2021")</f>
        <v/>
      </c>
    </row>
    <row r="376" ht="15" customHeight="1">
      <c r="A376" t="inlineStr">
        <is>
          <t>A 20836-2021</t>
        </is>
      </c>
      <c r="B376" s="1" t="n">
        <v>44318</v>
      </c>
      <c r="C376" s="1" t="n">
        <v>45218</v>
      </c>
      <c r="D376" t="inlineStr">
        <is>
          <t>VÄSTERNORRLANDS LÄN</t>
        </is>
      </c>
      <c r="E376" t="inlineStr">
        <is>
          <t>SOLLEFTEÅ</t>
        </is>
      </c>
      <c r="F376" t="inlineStr">
        <is>
          <t>SCA</t>
        </is>
      </c>
      <c r="G376" t="n">
        <v>4.8</v>
      </c>
      <c r="H376" t="n">
        <v>1</v>
      </c>
      <c r="I376" t="n">
        <v>0</v>
      </c>
      <c r="J376" t="n">
        <v>2</v>
      </c>
      <c r="K376" t="n">
        <v>0</v>
      </c>
      <c r="L376" t="n">
        <v>0</v>
      </c>
      <c r="M376" t="n">
        <v>0</v>
      </c>
      <c r="N376" t="n">
        <v>0</v>
      </c>
      <c r="O376" t="n">
        <v>2</v>
      </c>
      <c r="P376" t="n">
        <v>0</v>
      </c>
      <c r="Q376" t="n">
        <v>2</v>
      </c>
      <c r="R376" s="2" t="inlineStr">
        <is>
          <t>Garnlav
Talltita</t>
        </is>
      </c>
      <c r="S376">
        <f>HYPERLINK("https://klasma.github.io/Logging_2283/artfynd/A 20836-2021 artfynd.xlsx", "A 20836-2021")</f>
        <v/>
      </c>
      <c r="T376">
        <f>HYPERLINK("https://klasma.github.io/Logging_2283/kartor/A 20836-2021 karta.png", "A 20836-2021")</f>
        <v/>
      </c>
      <c r="V376">
        <f>HYPERLINK("https://klasma.github.io/Logging_2283/klagomål/A 20836-2021 FSC-klagomål.docx", "A 20836-2021")</f>
        <v/>
      </c>
      <c r="W376">
        <f>HYPERLINK("https://klasma.github.io/Logging_2283/klagomålsmail/A 20836-2021 FSC-klagomål mail.docx", "A 20836-2021")</f>
        <v/>
      </c>
      <c r="X376">
        <f>HYPERLINK("https://klasma.github.io/Logging_2283/tillsyn/A 20836-2021 tillsynsbegäran.docx", "A 20836-2021")</f>
        <v/>
      </c>
      <c r="Y376">
        <f>HYPERLINK("https://klasma.github.io/Logging_2283/tillsynsmail/A 20836-2021 tillsynsbegäran mail.docx", "A 20836-2021")</f>
        <v/>
      </c>
    </row>
    <row r="377" ht="15" customHeight="1">
      <c r="A377" t="inlineStr">
        <is>
          <t>A 27983-2021</t>
        </is>
      </c>
      <c r="B377" s="1" t="n">
        <v>44354</v>
      </c>
      <c r="C377" s="1" t="n">
        <v>45218</v>
      </c>
      <c r="D377" t="inlineStr">
        <is>
          <t>VÄSTERNORRLANDS LÄN</t>
        </is>
      </c>
      <c r="E377" t="inlineStr">
        <is>
          <t>SOLLEFTEÅ</t>
        </is>
      </c>
      <c r="F377" t="inlineStr">
        <is>
          <t>SCA</t>
        </is>
      </c>
      <c r="G377" t="n">
        <v>5.4</v>
      </c>
      <c r="H377" t="n">
        <v>0</v>
      </c>
      <c r="I377" t="n">
        <v>0</v>
      </c>
      <c r="J377" t="n">
        <v>2</v>
      </c>
      <c r="K377" t="n">
        <v>0</v>
      </c>
      <c r="L377" t="n">
        <v>0</v>
      </c>
      <c r="M377" t="n">
        <v>0</v>
      </c>
      <c r="N377" t="n">
        <v>0</v>
      </c>
      <c r="O377" t="n">
        <v>2</v>
      </c>
      <c r="P377" t="n">
        <v>0</v>
      </c>
      <c r="Q377" t="n">
        <v>2</v>
      </c>
      <c r="R377" s="2" t="inlineStr">
        <is>
          <t>Rosenticka
Ullticka</t>
        </is>
      </c>
      <c r="S377">
        <f>HYPERLINK("https://klasma.github.io/Logging_2283/artfynd/A 27983-2021 artfynd.xlsx", "A 27983-2021")</f>
        <v/>
      </c>
      <c r="T377">
        <f>HYPERLINK("https://klasma.github.io/Logging_2283/kartor/A 27983-2021 karta.png", "A 27983-2021")</f>
        <v/>
      </c>
      <c r="V377">
        <f>HYPERLINK("https://klasma.github.io/Logging_2283/klagomål/A 27983-2021 FSC-klagomål.docx", "A 27983-2021")</f>
        <v/>
      </c>
      <c r="W377">
        <f>HYPERLINK("https://klasma.github.io/Logging_2283/klagomålsmail/A 27983-2021 FSC-klagomål mail.docx", "A 27983-2021")</f>
        <v/>
      </c>
      <c r="X377">
        <f>HYPERLINK("https://klasma.github.io/Logging_2283/tillsyn/A 27983-2021 tillsynsbegäran.docx", "A 27983-2021")</f>
        <v/>
      </c>
      <c r="Y377">
        <f>HYPERLINK("https://klasma.github.io/Logging_2283/tillsynsmail/A 27983-2021 tillsynsbegäran mail.docx", "A 27983-2021")</f>
        <v/>
      </c>
    </row>
    <row r="378" ht="15" customHeight="1">
      <c r="A378" t="inlineStr">
        <is>
          <t>A 36635-2021</t>
        </is>
      </c>
      <c r="B378" s="1" t="n">
        <v>44391</v>
      </c>
      <c r="C378" s="1" t="n">
        <v>45218</v>
      </c>
      <c r="D378" t="inlineStr">
        <is>
          <t>VÄSTERNORRLANDS LÄN</t>
        </is>
      </c>
      <c r="E378" t="inlineStr">
        <is>
          <t>ÅNGE</t>
        </is>
      </c>
      <c r="F378" t="inlineStr">
        <is>
          <t>SCA</t>
        </is>
      </c>
      <c r="G378" t="n">
        <v>3.7</v>
      </c>
      <c r="H378" t="n">
        <v>1</v>
      </c>
      <c r="I378" t="n">
        <v>0</v>
      </c>
      <c r="J378" t="n">
        <v>1</v>
      </c>
      <c r="K378" t="n">
        <v>1</v>
      </c>
      <c r="L378" t="n">
        <v>0</v>
      </c>
      <c r="M378" t="n">
        <v>0</v>
      </c>
      <c r="N378" t="n">
        <v>0</v>
      </c>
      <c r="O378" t="n">
        <v>2</v>
      </c>
      <c r="P378" t="n">
        <v>1</v>
      </c>
      <c r="Q378" t="n">
        <v>2</v>
      </c>
      <c r="R378" s="2" t="inlineStr">
        <is>
          <t>Knärot
Tallticka</t>
        </is>
      </c>
      <c r="S378">
        <f>HYPERLINK("https://klasma.github.io/Logging_2260/artfynd/A 36635-2021 artfynd.xlsx", "A 36635-2021")</f>
        <v/>
      </c>
      <c r="T378">
        <f>HYPERLINK("https://klasma.github.io/Logging_2260/kartor/A 36635-2021 karta.png", "A 36635-2021")</f>
        <v/>
      </c>
      <c r="U378">
        <f>HYPERLINK("https://klasma.github.io/Logging_2260/knärot/A 36635-2021 karta knärot.png", "A 36635-2021")</f>
        <v/>
      </c>
      <c r="V378">
        <f>HYPERLINK("https://klasma.github.io/Logging_2260/klagomål/A 36635-2021 FSC-klagomål.docx", "A 36635-2021")</f>
        <v/>
      </c>
      <c r="W378">
        <f>HYPERLINK("https://klasma.github.io/Logging_2260/klagomålsmail/A 36635-2021 FSC-klagomål mail.docx", "A 36635-2021")</f>
        <v/>
      </c>
      <c r="X378">
        <f>HYPERLINK("https://klasma.github.io/Logging_2260/tillsyn/A 36635-2021 tillsynsbegäran.docx", "A 36635-2021")</f>
        <v/>
      </c>
      <c r="Y378">
        <f>HYPERLINK("https://klasma.github.io/Logging_2260/tillsynsmail/A 36635-2021 tillsynsbegäran mail.docx", "A 36635-2021")</f>
        <v/>
      </c>
    </row>
    <row r="379" ht="15" customHeight="1">
      <c r="A379" t="inlineStr">
        <is>
          <t>A 43196-2021</t>
        </is>
      </c>
      <c r="B379" s="1" t="n">
        <v>44431</v>
      </c>
      <c r="C379" s="1" t="n">
        <v>45218</v>
      </c>
      <c r="D379" t="inlineStr">
        <is>
          <t>VÄSTERNORRLANDS LÄN</t>
        </is>
      </c>
      <c r="E379" t="inlineStr">
        <is>
          <t>SUNDSVALL</t>
        </is>
      </c>
      <c r="G379" t="n">
        <v>1.9</v>
      </c>
      <c r="H379" t="n">
        <v>1</v>
      </c>
      <c r="I379" t="n">
        <v>0</v>
      </c>
      <c r="J379" t="n">
        <v>1</v>
      </c>
      <c r="K379" t="n">
        <v>0</v>
      </c>
      <c r="L379" t="n">
        <v>0</v>
      </c>
      <c r="M379" t="n">
        <v>0</v>
      </c>
      <c r="N379" t="n">
        <v>0</v>
      </c>
      <c r="O379" t="n">
        <v>1</v>
      </c>
      <c r="P379" t="n">
        <v>0</v>
      </c>
      <c r="Q379" t="n">
        <v>2</v>
      </c>
      <c r="R379" s="2" t="inlineStr">
        <is>
          <t>Garnlav
Revlummer</t>
        </is>
      </c>
      <c r="S379">
        <f>HYPERLINK("https://klasma.github.io/Logging_2281/artfynd/A 43196-2021 artfynd.xlsx", "A 43196-2021")</f>
        <v/>
      </c>
      <c r="T379">
        <f>HYPERLINK("https://klasma.github.io/Logging_2281/kartor/A 43196-2021 karta.png", "A 43196-2021")</f>
        <v/>
      </c>
      <c r="V379">
        <f>HYPERLINK("https://klasma.github.io/Logging_2281/klagomål/A 43196-2021 FSC-klagomål.docx", "A 43196-2021")</f>
        <v/>
      </c>
      <c r="W379">
        <f>HYPERLINK("https://klasma.github.io/Logging_2281/klagomålsmail/A 43196-2021 FSC-klagomål mail.docx", "A 43196-2021")</f>
        <v/>
      </c>
      <c r="X379">
        <f>HYPERLINK("https://klasma.github.io/Logging_2281/tillsyn/A 43196-2021 tillsynsbegäran.docx", "A 43196-2021")</f>
        <v/>
      </c>
      <c r="Y379">
        <f>HYPERLINK("https://klasma.github.io/Logging_2281/tillsynsmail/A 43196-2021 tillsynsbegäran mail.docx", "A 43196-2021")</f>
        <v/>
      </c>
    </row>
    <row r="380" ht="15" customHeight="1">
      <c r="A380" t="inlineStr">
        <is>
          <t>A 54153-2021</t>
        </is>
      </c>
      <c r="B380" s="1" t="n">
        <v>44469</v>
      </c>
      <c r="C380" s="1" t="n">
        <v>45218</v>
      </c>
      <c r="D380" t="inlineStr">
        <is>
          <t>VÄSTERNORRLANDS LÄN</t>
        </is>
      </c>
      <c r="E380" t="inlineStr">
        <is>
          <t>SOLLEFTEÅ</t>
        </is>
      </c>
      <c r="G380" t="n">
        <v>1.4</v>
      </c>
      <c r="H380" t="n">
        <v>0</v>
      </c>
      <c r="I380" t="n">
        <v>0</v>
      </c>
      <c r="J380" t="n">
        <v>2</v>
      </c>
      <c r="K380" t="n">
        <v>0</v>
      </c>
      <c r="L380" t="n">
        <v>0</v>
      </c>
      <c r="M380" t="n">
        <v>0</v>
      </c>
      <c r="N380" t="n">
        <v>0</v>
      </c>
      <c r="O380" t="n">
        <v>2</v>
      </c>
      <c r="P380" t="n">
        <v>0</v>
      </c>
      <c r="Q380" t="n">
        <v>2</v>
      </c>
      <c r="R380" s="2" t="inlineStr">
        <is>
          <t>Garnlav
Rosenticka</t>
        </is>
      </c>
      <c r="S380">
        <f>HYPERLINK("https://klasma.github.io/Logging_2283/artfynd/A 54153-2021 artfynd.xlsx", "A 54153-2021")</f>
        <v/>
      </c>
      <c r="T380">
        <f>HYPERLINK("https://klasma.github.io/Logging_2283/kartor/A 54153-2021 karta.png", "A 54153-2021")</f>
        <v/>
      </c>
      <c r="V380">
        <f>HYPERLINK("https://klasma.github.io/Logging_2283/klagomål/A 54153-2021 FSC-klagomål.docx", "A 54153-2021")</f>
        <v/>
      </c>
      <c r="W380">
        <f>HYPERLINK("https://klasma.github.io/Logging_2283/klagomålsmail/A 54153-2021 FSC-klagomål mail.docx", "A 54153-2021")</f>
        <v/>
      </c>
      <c r="X380">
        <f>HYPERLINK("https://klasma.github.io/Logging_2283/tillsyn/A 54153-2021 tillsynsbegäran.docx", "A 54153-2021")</f>
        <v/>
      </c>
      <c r="Y380">
        <f>HYPERLINK("https://klasma.github.io/Logging_2283/tillsynsmail/A 54153-2021 tillsynsbegäran mail.docx", "A 54153-2021")</f>
        <v/>
      </c>
    </row>
    <row r="381" ht="15" customHeight="1">
      <c r="A381" t="inlineStr">
        <is>
          <t>A 55591-2021</t>
        </is>
      </c>
      <c r="B381" s="1" t="n">
        <v>44475</v>
      </c>
      <c r="C381" s="1" t="n">
        <v>45218</v>
      </c>
      <c r="D381" t="inlineStr">
        <is>
          <t>VÄSTERNORRLANDS LÄN</t>
        </is>
      </c>
      <c r="E381" t="inlineStr">
        <is>
          <t>ÅNGE</t>
        </is>
      </c>
      <c r="G381" t="n">
        <v>3.6</v>
      </c>
      <c r="H381" t="n">
        <v>0</v>
      </c>
      <c r="I381" t="n">
        <v>0</v>
      </c>
      <c r="J381" t="n">
        <v>2</v>
      </c>
      <c r="K381" t="n">
        <v>0</v>
      </c>
      <c r="L381" t="n">
        <v>0</v>
      </c>
      <c r="M381" t="n">
        <v>0</v>
      </c>
      <c r="N381" t="n">
        <v>0</v>
      </c>
      <c r="O381" t="n">
        <v>2</v>
      </c>
      <c r="P381" t="n">
        <v>0</v>
      </c>
      <c r="Q381" t="n">
        <v>2</v>
      </c>
      <c r="R381" s="2" t="inlineStr">
        <is>
          <t>Kolflarnlav
Skrovlig taggsvamp</t>
        </is>
      </c>
      <c r="S381">
        <f>HYPERLINK("https://klasma.github.io/Logging_2260/artfynd/A 55591-2021 artfynd.xlsx", "A 55591-2021")</f>
        <v/>
      </c>
      <c r="T381">
        <f>HYPERLINK("https://klasma.github.io/Logging_2260/kartor/A 55591-2021 karta.png", "A 55591-2021")</f>
        <v/>
      </c>
      <c r="V381">
        <f>HYPERLINK("https://klasma.github.io/Logging_2260/klagomål/A 55591-2021 FSC-klagomål.docx", "A 55591-2021")</f>
        <v/>
      </c>
      <c r="W381">
        <f>HYPERLINK("https://klasma.github.io/Logging_2260/klagomålsmail/A 55591-2021 FSC-klagomål mail.docx", "A 55591-2021")</f>
        <v/>
      </c>
      <c r="X381">
        <f>HYPERLINK("https://klasma.github.io/Logging_2260/tillsyn/A 55591-2021 tillsynsbegäran.docx", "A 55591-2021")</f>
        <v/>
      </c>
      <c r="Y381">
        <f>HYPERLINK("https://klasma.github.io/Logging_2260/tillsynsmail/A 55591-2021 tillsynsbegäran mail.docx", "A 55591-2021")</f>
        <v/>
      </c>
    </row>
    <row r="382" ht="15" customHeight="1">
      <c r="A382" t="inlineStr">
        <is>
          <t>A 61472-2021</t>
        </is>
      </c>
      <c r="B382" s="1" t="n">
        <v>44500</v>
      </c>
      <c r="C382" s="1" t="n">
        <v>45218</v>
      </c>
      <c r="D382" t="inlineStr">
        <is>
          <t>VÄSTERNORRLANDS LÄN</t>
        </is>
      </c>
      <c r="E382" t="inlineStr">
        <is>
          <t>ÅNGE</t>
        </is>
      </c>
      <c r="F382" t="inlineStr">
        <is>
          <t>SCA</t>
        </is>
      </c>
      <c r="G382" t="n">
        <v>2.1</v>
      </c>
      <c r="H382" t="n">
        <v>2</v>
      </c>
      <c r="I382" t="n">
        <v>0</v>
      </c>
      <c r="J382" t="n">
        <v>0</v>
      </c>
      <c r="K382" t="n">
        <v>0</v>
      </c>
      <c r="L382" t="n">
        <v>0</v>
      </c>
      <c r="M382" t="n">
        <v>0</v>
      </c>
      <c r="N382" t="n">
        <v>0</v>
      </c>
      <c r="O382" t="n">
        <v>0</v>
      </c>
      <c r="P382" t="n">
        <v>0</v>
      </c>
      <c r="Q382" t="n">
        <v>2</v>
      </c>
      <c r="R382" s="2" t="inlineStr">
        <is>
          <t>Fläcknycklar
Revlummer</t>
        </is>
      </c>
      <c r="S382">
        <f>HYPERLINK("https://klasma.github.io/Logging_2260/artfynd/A 61472-2021 artfynd.xlsx", "A 61472-2021")</f>
        <v/>
      </c>
      <c r="T382">
        <f>HYPERLINK("https://klasma.github.io/Logging_2260/kartor/A 61472-2021 karta.png", "A 61472-2021")</f>
        <v/>
      </c>
      <c r="V382">
        <f>HYPERLINK("https://klasma.github.io/Logging_2260/klagomål/A 61472-2021 FSC-klagomål.docx", "A 61472-2021")</f>
        <v/>
      </c>
      <c r="W382">
        <f>HYPERLINK("https://klasma.github.io/Logging_2260/klagomålsmail/A 61472-2021 FSC-klagomål mail.docx", "A 61472-2021")</f>
        <v/>
      </c>
      <c r="X382">
        <f>HYPERLINK("https://klasma.github.io/Logging_2260/tillsyn/A 61472-2021 tillsynsbegäran.docx", "A 61472-2021")</f>
        <v/>
      </c>
      <c r="Y382">
        <f>HYPERLINK("https://klasma.github.io/Logging_2260/tillsynsmail/A 61472-2021 tillsynsbegäran mail.docx", "A 61472-2021")</f>
        <v/>
      </c>
    </row>
    <row r="383" ht="15" customHeight="1">
      <c r="A383" t="inlineStr">
        <is>
          <t>A 62861-2021</t>
        </is>
      </c>
      <c r="B383" s="1" t="n">
        <v>44503</v>
      </c>
      <c r="C383" s="1" t="n">
        <v>45218</v>
      </c>
      <c r="D383" t="inlineStr">
        <is>
          <t>VÄSTERNORRLANDS LÄN</t>
        </is>
      </c>
      <c r="E383" t="inlineStr">
        <is>
          <t>ÅNGE</t>
        </is>
      </c>
      <c r="F383" t="inlineStr">
        <is>
          <t>Övriga statliga verk och myndigheter</t>
        </is>
      </c>
      <c r="G383" t="n">
        <v>12.1</v>
      </c>
      <c r="H383" t="n">
        <v>1</v>
      </c>
      <c r="I383" t="n">
        <v>0</v>
      </c>
      <c r="J383" t="n">
        <v>1</v>
      </c>
      <c r="K383" t="n">
        <v>1</v>
      </c>
      <c r="L383" t="n">
        <v>0</v>
      </c>
      <c r="M383" t="n">
        <v>0</v>
      </c>
      <c r="N383" t="n">
        <v>0</v>
      </c>
      <c r="O383" t="n">
        <v>2</v>
      </c>
      <c r="P383" t="n">
        <v>1</v>
      </c>
      <c r="Q383" t="n">
        <v>2</v>
      </c>
      <c r="R383" s="2" t="inlineStr">
        <is>
          <t>Knärot
Rosenticka</t>
        </is>
      </c>
      <c r="S383">
        <f>HYPERLINK("https://klasma.github.io/Logging_2260/artfynd/A 62861-2021 artfynd.xlsx", "A 62861-2021")</f>
        <v/>
      </c>
      <c r="T383">
        <f>HYPERLINK("https://klasma.github.io/Logging_2260/kartor/A 62861-2021 karta.png", "A 62861-2021")</f>
        <v/>
      </c>
      <c r="U383">
        <f>HYPERLINK("https://klasma.github.io/Logging_2260/knärot/A 62861-2021 karta knärot.png", "A 62861-2021")</f>
        <v/>
      </c>
      <c r="V383">
        <f>HYPERLINK("https://klasma.github.io/Logging_2260/klagomål/A 62861-2021 FSC-klagomål.docx", "A 62861-2021")</f>
        <v/>
      </c>
      <c r="W383">
        <f>HYPERLINK("https://klasma.github.io/Logging_2260/klagomålsmail/A 62861-2021 FSC-klagomål mail.docx", "A 62861-2021")</f>
        <v/>
      </c>
      <c r="X383">
        <f>HYPERLINK("https://klasma.github.io/Logging_2260/tillsyn/A 62861-2021 tillsynsbegäran.docx", "A 62861-2021")</f>
        <v/>
      </c>
      <c r="Y383">
        <f>HYPERLINK("https://klasma.github.io/Logging_2260/tillsynsmail/A 62861-2021 tillsynsbegäran mail.docx", "A 62861-2021")</f>
        <v/>
      </c>
    </row>
    <row r="384" ht="15" customHeight="1">
      <c r="A384" t="inlineStr">
        <is>
          <t>A 64919-2021</t>
        </is>
      </c>
      <c r="B384" s="1" t="n">
        <v>44512</v>
      </c>
      <c r="C384" s="1" t="n">
        <v>45218</v>
      </c>
      <c r="D384" t="inlineStr">
        <is>
          <t>VÄSTERNORRLANDS LÄN</t>
        </is>
      </c>
      <c r="E384" t="inlineStr">
        <is>
          <t>SUNDSVALL</t>
        </is>
      </c>
      <c r="F384" t="inlineStr">
        <is>
          <t>Kommuner</t>
        </is>
      </c>
      <c r="G384" t="n">
        <v>4.1</v>
      </c>
      <c r="H384" t="n">
        <v>1</v>
      </c>
      <c r="I384" t="n">
        <v>1</v>
      </c>
      <c r="J384" t="n">
        <v>1</v>
      </c>
      <c r="K384" t="n">
        <v>0</v>
      </c>
      <c r="L384" t="n">
        <v>0</v>
      </c>
      <c r="M384" t="n">
        <v>0</v>
      </c>
      <c r="N384" t="n">
        <v>0</v>
      </c>
      <c r="O384" t="n">
        <v>1</v>
      </c>
      <c r="P384" t="n">
        <v>0</v>
      </c>
      <c r="Q384" t="n">
        <v>2</v>
      </c>
      <c r="R384" s="2" t="inlineStr">
        <is>
          <t>Mindre hackspett
Scharlakansskål</t>
        </is>
      </c>
      <c r="S384">
        <f>HYPERLINK("https://klasma.github.io/Logging_2281/artfynd/A 64919-2021 artfynd.xlsx", "A 64919-2021")</f>
        <v/>
      </c>
      <c r="T384">
        <f>HYPERLINK("https://klasma.github.io/Logging_2281/kartor/A 64919-2021 karta.png", "A 64919-2021")</f>
        <v/>
      </c>
      <c r="V384">
        <f>HYPERLINK("https://klasma.github.io/Logging_2281/klagomål/A 64919-2021 FSC-klagomål.docx", "A 64919-2021")</f>
        <v/>
      </c>
      <c r="W384">
        <f>HYPERLINK("https://klasma.github.io/Logging_2281/klagomålsmail/A 64919-2021 FSC-klagomål mail.docx", "A 64919-2021")</f>
        <v/>
      </c>
      <c r="X384">
        <f>HYPERLINK("https://klasma.github.io/Logging_2281/tillsyn/A 64919-2021 tillsynsbegäran.docx", "A 64919-2021")</f>
        <v/>
      </c>
      <c r="Y384">
        <f>HYPERLINK("https://klasma.github.io/Logging_2281/tillsynsmail/A 64919-2021 tillsynsbegäran mail.docx", "A 64919-2021")</f>
        <v/>
      </c>
    </row>
    <row r="385" ht="15" customHeight="1">
      <c r="A385" t="inlineStr">
        <is>
          <t>A 1082-2022</t>
        </is>
      </c>
      <c r="B385" s="1" t="n">
        <v>44571</v>
      </c>
      <c r="C385" s="1" t="n">
        <v>45218</v>
      </c>
      <c r="D385" t="inlineStr">
        <is>
          <t>VÄSTERNORRLANDS LÄN</t>
        </is>
      </c>
      <c r="E385" t="inlineStr">
        <is>
          <t>ÅNGE</t>
        </is>
      </c>
      <c r="G385" t="n">
        <v>0.9</v>
      </c>
      <c r="H385" t="n">
        <v>1</v>
      </c>
      <c r="I385" t="n">
        <v>0</v>
      </c>
      <c r="J385" t="n">
        <v>2</v>
      </c>
      <c r="K385" t="n">
        <v>0</v>
      </c>
      <c r="L385" t="n">
        <v>0</v>
      </c>
      <c r="M385" t="n">
        <v>0</v>
      </c>
      <c r="N385" t="n">
        <v>0</v>
      </c>
      <c r="O385" t="n">
        <v>2</v>
      </c>
      <c r="P385" t="n">
        <v>0</v>
      </c>
      <c r="Q385" t="n">
        <v>2</v>
      </c>
      <c r="R385" s="2" t="inlineStr">
        <is>
          <t>Garnlav
Talltita</t>
        </is>
      </c>
      <c r="S385">
        <f>HYPERLINK("https://klasma.github.io/Logging_2260/artfynd/A 1082-2022 artfynd.xlsx", "A 1082-2022")</f>
        <v/>
      </c>
      <c r="T385">
        <f>HYPERLINK("https://klasma.github.io/Logging_2260/kartor/A 1082-2022 karta.png", "A 1082-2022")</f>
        <v/>
      </c>
      <c r="V385">
        <f>HYPERLINK("https://klasma.github.io/Logging_2260/klagomål/A 1082-2022 FSC-klagomål.docx", "A 1082-2022")</f>
        <v/>
      </c>
      <c r="W385">
        <f>HYPERLINK("https://klasma.github.io/Logging_2260/klagomålsmail/A 1082-2022 FSC-klagomål mail.docx", "A 1082-2022")</f>
        <v/>
      </c>
      <c r="X385">
        <f>HYPERLINK("https://klasma.github.io/Logging_2260/tillsyn/A 1082-2022 tillsynsbegäran.docx", "A 1082-2022")</f>
        <v/>
      </c>
      <c r="Y385">
        <f>HYPERLINK("https://klasma.github.io/Logging_2260/tillsynsmail/A 1082-2022 tillsynsbegäran mail.docx", "A 1082-2022")</f>
        <v/>
      </c>
    </row>
    <row r="386" ht="15" customHeight="1">
      <c r="A386" t="inlineStr">
        <is>
          <t>A 5115-2022</t>
        </is>
      </c>
      <c r="B386" s="1" t="n">
        <v>44593</v>
      </c>
      <c r="C386" s="1" t="n">
        <v>45218</v>
      </c>
      <c r="D386" t="inlineStr">
        <is>
          <t>VÄSTERNORRLANDS LÄN</t>
        </is>
      </c>
      <c r="E386" t="inlineStr">
        <is>
          <t>SUNDSVALL</t>
        </is>
      </c>
      <c r="F386" t="inlineStr">
        <is>
          <t>SCA</t>
        </is>
      </c>
      <c r="G386" t="n">
        <v>13.6</v>
      </c>
      <c r="H386" t="n">
        <v>0</v>
      </c>
      <c r="I386" t="n">
        <v>1</v>
      </c>
      <c r="J386" t="n">
        <v>1</v>
      </c>
      <c r="K386" t="n">
        <v>0</v>
      </c>
      <c r="L386" t="n">
        <v>0</v>
      </c>
      <c r="M386" t="n">
        <v>0</v>
      </c>
      <c r="N386" t="n">
        <v>0</v>
      </c>
      <c r="O386" t="n">
        <v>1</v>
      </c>
      <c r="P386" t="n">
        <v>0</v>
      </c>
      <c r="Q386" t="n">
        <v>2</v>
      </c>
      <c r="R386" s="2" t="inlineStr">
        <is>
          <t>Lunglav
Norrlandslav</t>
        </is>
      </c>
      <c r="S386">
        <f>HYPERLINK("https://klasma.github.io/Logging_2281/artfynd/A 5115-2022 artfynd.xlsx", "A 5115-2022")</f>
        <v/>
      </c>
      <c r="T386">
        <f>HYPERLINK("https://klasma.github.io/Logging_2281/kartor/A 5115-2022 karta.png", "A 5115-2022")</f>
        <v/>
      </c>
      <c r="V386">
        <f>HYPERLINK("https://klasma.github.io/Logging_2281/klagomål/A 5115-2022 FSC-klagomål.docx", "A 5115-2022")</f>
        <v/>
      </c>
      <c r="W386">
        <f>HYPERLINK("https://klasma.github.io/Logging_2281/klagomålsmail/A 5115-2022 FSC-klagomål mail.docx", "A 5115-2022")</f>
        <v/>
      </c>
      <c r="X386">
        <f>HYPERLINK("https://klasma.github.io/Logging_2281/tillsyn/A 5115-2022 tillsynsbegäran.docx", "A 5115-2022")</f>
        <v/>
      </c>
      <c r="Y386">
        <f>HYPERLINK("https://klasma.github.io/Logging_2281/tillsynsmail/A 5115-2022 tillsynsbegäran mail.docx", "A 5115-2022")</f>
        <v/>
      </c>
    </row>
    <row r="387" ht="15" customHeight="1">
      <c r="A387" t="inlineStr">
        <is>
          <t>A 8234-2022</t>
        </is>
      </c>
      <c r="B387" s="1" t="n">
        <v>44609</v>
      </c>
      <c r="C387" s="1" t="n">
        <v>45218</v>
      </c>
      <c r="D387" t="inlineStr">
        <is>
          <t>VÄSTERNORRLANDS LÄN</t>
        </is>
      </c>
      <c r="E387" t="inlineStr">
        <is>
          <t>ÅNGE</t>
        </is>
      </c>
      <c r="F387" t="inlineStr">
        <is>
          <t>SCA</t>
        </is>
      </c>
      <c r="G387" t="n">
        <v>2.3</v>
      </c>
      <c r="H387" t="n">
        <v>1</v>
      </c>
      <c r="I387" t="n">
        <v>0</v>
      </c>
      <c r="J387" t="n">
        <v>1</v>
      </c>
      <c r="K387" t="n">
        <v>0</v>
      </c>
      <c r="L387" t="n">
        <v>0</v>
      </c>
      <c r="M387" t="n">
        <v>0</v>
      </c>
      <c r="N387" t="n">
        <v>0</v>
      </c>
      <c r="O387" t="n">
        <v>1</v>
      </c>
      <c r="P387" t="n">
        <v>0</v>
      </c>
      <c r="Q387" t="n">
        <v>2</v>
      </c>
      <c r="R387" s="2" t="inlineStr">
        <is>
          <t>Garnlav
Revlummer</t>
        </is>
      </c>
      <c r="S387">
        <f>HYPERLINK("https://klasma.github.io/Logging_2260/artfynd/A 8234-2022 artfynd.xlsx", "A 8234-2022")</f>
        <v/>
      </c>
      <c r="T387">
        <f>HYPERLINK("https://klasma.github.io/Logging_2260/kartor/A 8234-2022 karta.png", "A 8234-2022")</f>
        <v/>
      </c>
      <c r="V387">
        <f>HYPERLINK("https://klasma.github.io/Logging_2260/klagomål/A 8234-2022 FSC-klagomål.docx", "A 8234-2022")</f>
        <v/>
      </c>
      <c r="W387">
        <f>HYPERLINK("https://klasma.github.io/Logging_2260/klagomålsmail/A 8234-2022 FSC-klagomål mail.docx", "A 8234-2022")</f>
        <v/>
      </c>
      <c r="X387">
        <f>HYPERLINK("https://klasma.github.io/Logging_2260/tillsyn/A 8234-2022 tillsynsbegäran.docx", "A 8234-2022")</f>
        <v/>
      </c>
      <c r="Y387">
        <f>HYPERLINK("https://klasma.github.io/Logging_2260/tillsynsmail/A 8234-2022 tillsynsbegäran mail.docx", "A 8234-2022")</f>
        <v/>
      </c>
    </row>
    <row r="388" ht="15" customHeight="1">
      <c r="A388" t="inlineStr">
        <is>
          <t>A 13059-2022</t>
        </is>
      </c>
      <c r="B388" s="1" t="n">
        <v>44643</v>
      </c>
      <c r="C388" s="1" t="n">
        <v>45218</v>
      </c>
      <c r="D388" t="inlineStr">
        <is>
          <t>VÄSTERNORRLANDS LÄN</t>
        </is>
      </c>
      <c r="E388" t="inlineStr">
        <is>
          <t>SOLLEFTEÅ</t>
        </is>
      </c>
      <c r="G388" t="n">
        <v>9.9</v>
      </c>
      <c r="H388" t="n">
        <v>0</v>
      </c>
      <c r="I388" t="n">
        <v>0</v>
      </c>
      <c r="J388" t="n">
        <v>2</v>
      </c>
      <c r="K388" t="n">
        <v>0</v>
      </c>
      <c r="L388" t="n">
        <v>0</v>
      </c>
      <c r="M388" t="n">
        <v>0</v>
      </c>
      <c r="N388" t="n">
        <v>0</v>
      </c>
      <c r="O388" t="n">
        <v>2</v>
      </c>
      <c r="P388" t="n">
        <v>0</v>
      </c>
      <c r="Q388" t="n">
        <v>2</v>
      </c>
      <c r="R388" s="2" t="inlineStr">
        <is>
          <t>Garnlav
Ullticka</t>
        </is>
      </c>
      <c r="S388">
        <f>HYPERLINK("https://klasma.github.io/Logging_2283/artfynd/A 13059-2022 artfynd.xlsx", "A 13059-2022")</f>
        <v/>
      </c>
      <c r="T388">
        <f>HYPERLINK("https://klasma.github.io/Logging_2283/kartor/A 13059-2022 karta.png", "A 13059-2022")</f>
        <v/>
      </c>
      <c r="V388">
        <f>HYPERLINK("https://klasma.github.io/Logging_2283/klagomål/A 13059-2022 FSC-klagomål.docx", "A 13059-2022")</f>
        <v/>
      </c>
      <c r="W388">
        <f>HYPERLINK("https://klasma.github.io/Logging_2283/klagomålsmail/A 13059-2022 FSC-klagomål mail.docx", "A 13059-2022")</f>
        <v/>
      </c>
      <c r="X388">
        <f>HYPERLINK("https://klasma.github.io/Logging_2283/tillsyn/A 13059-2022 tillsynsbegäran.docx", "A 13059-2022")</f>
        <v/>
      </c>
      <c r="Y388">
        <f>HYPERLINK("https://klasma.github.io/Logging_2283/tillsynsmail/A 13059-2022 tillsynsbegäran mail.docx", "A 13059-2022")</f>
        <v/>
      </c>
    </row>
    <row r="389" ht="15" customHeight="1">
      <c r="A389" t="inlineStr">
        <is>
          <t>A 16235-2022</t>
        </is>
      </c>
      <c r="B389" s="1" t="n">
        <v>44670</v>
      </c>
      <c r="C389" s="1" t="n">
        <v>45218</v>
      </c>
      <c r="D389" t="inlineStr">
        <is>
          <t>VÄSTERNORRLANDS LÄN</t>
        </is>
      </c>
      <c r="E389" t="inlineStr">
        <is>
          <t>ÖRNSKÖLDSVIK</t>
        </is>
      </c>
      <c r="F389" t="inlineStr">
        <is>
          <t>Holmen skog AB</t>
        </is>
      </c>
      <c r="G389" t="n">
        <v>12.9</v>
      </c>
      <c r="H389" t="n">
        <v>0</v>
      </c>
      <c r="I389" t="n">
        <v>0</v>
      </c>
      <c r="J389" t="n">
        <v>2</v>
      </c>
      <c r="K389" t="n">
        <v>0</v>
      </c>
      <c r="L389" t="n">
        <v>0</v>
      </c>
      <c r="M389" t="n">
        <v>0</v>
      </c>
      <c r="N389" t="n">
        <v>0</v>
      </c>
      <c r="O389" t="n">
        <v>2</v>
      </c>
      <c r="P389" t="n">
        <v>0</v>
      </c>
      <c r="Q389" t="n">
        <v>2</v>
      </c>
      <c r="R389" s="2" t="inlineStr">
        <is>
          <t>Dvärgbägarlav
Kolflarnlav</t>
        </is>
      </c>
      <c r="S389">
        <f>HYPERLINK("https://klasma.github.io/Logging_2284/artfynd/A 16235-2022 artfynd.xlsx", "A 16235-2022")</f>
        <v/>
      </c>
      <c r="T389">
        <f>HYPERLINK("https://klasma.github.io/Logging_2284/kartor/A 16235-2022 karta.png", "A 16235-2022")</f>
        <v/>
      </c>
      <c r="V389">
        <f>HYPERLINK("https://klasma.github.io/Logging_2284/klagomål/A 16235-2022 FSC-klagomål.docx", "A 16235-2022")</f>
        <v/>
      </c>
      <c r="W389">
        <f>HYPERLINK("https://klasma.github.io/Logging_2284/klagomålsmail/A 16235-2022 FSC-klagomål mail.docx", "A 16235-2022")</f>
        <v/>
      </c>
      <c r="X389">
        <f>HYPERLINK("https://klasma.github.io/Logging_2284/tillsyn/A 16235-2022 tillsynsbegäran.docx", "A 16235-2022")</f>
        <v/>
      </c>
      <c r="Y389">
        <f>HYPERLINK("https://klasma.github.io/Logging_2284/tillsynsmail/A 16235-2022 tillsynsbegäran mail.docx", "A 16235-2022")</f>
        <v/>
      </c>
    </row>
    <row r="390" ht="15" customHeight="1">
      <c r="A390" t="inlineStr">
        <is>
          <t>A 20310-2022</t>
        </is>
      </c>
      <c r="B390" s="1" t="n">
        <v>44698</v>
      </c>
      <c r="C390" s="1" t="n">
        <v>45218</v>
      </c>
      <c r="D390" t="inlineStr">
        <is>
          <t>VÄSTERNORRLANDS LÄN</t>
        </is>
      </c>
      <c r="E390" t="inlineStr">
        <is>
          <t>SOLLEFTEÅ</t>
        </is>
      </c>
      <c r="F390" t="inlineStr">
        <is>
          <t>SCA</t>
        </is>
      </c>
      <c r="G390" t="n">
        <v>1.7</v>
      </c>
      <c r="H390" t="n">
        <v>0</v>
      </c>
      <c r="I390" t="n">
        <v>0</v>
      </c>
      <c r="J390" t="n">
        <v>2</v>
      </c>
      <c r="K390" t="n">
        <v>0</v>
      </c>
      <c r="L390" t="n">
        <v>0</v>
      </c>
      <c r="M390" t="n">
        <v>0</v>
      </c>
      <c r="N390" t="n">
        <v>0</v>
      </c>
      <c r="O390" t="n">
        <v>2</v>
      </c>
      <c r="P390" t="n">
        <v>0</v>
      </c>
      <c r="Q390" t="n">
        <v>2</v>
      </c>
      <c r="R390" s="2" t="inlineStr">
        <is>
          <t>Koralltaggsvamp
Rosenticka</t>
        </is>
      </c>
      <c r="S390">
        <f>HYPERLINK("https://klasma.github.io/Logging_2283/artfynd/A 20310-2022 artfynd.xlsx", "A 20310-2022")</f>
        <v/>
      </c>
      <c r="T390">
        <f>HYPERLINK("https://klasma.github.io/Logging_2283/kartor/A 20310-2022 karta.png", "A 20310-2022")</f>
        <v/>
      </c>
      <c r="V390">
        <f>HYPERLINK("https://klasma.github.io/Logging_2283/klagomål/A 20310-2022 FSC-klagomål.docx", "A 20310-2022")</f>
        <v/>
      </c>
      <c r="W390">
        <f>HYPERLINK("https://klasma.github.io/Logging_2283/klagomålsmail/A 20310-2022 FSC-klagomål mail.docx", "A 20310-2022")</f>
        <v/>
      </c>
      <c r="X390">
        <f>HYPERLINK("https://klasma.github.io/Logging_2283/tillsyn/A 20310-2022 tillsynsbegäran.docx", "A 20310-2022")</f>
        <v/>
      </c>
      <c r="Y390">
        <f>HYPERLINK("https://klasma.github.io/Logging_2283/tillsynsmail/A 20310-2022 tillsynsbegäran mail.docx", "A 20310-2022")</f>
        <v/>
      </c>
    </row>
    <row r="391" ht="15" customHeight="1">
      <c r="A391" t="inlineStr">
        <is>
          <t>A 20956-2022</t>
        </is>
      </c>
      <c r="B391" s="1" t="n">
        <v>44701</v>
      </c>
      <c r="C391" s="1" t="n">
        <v>45218</v>
      </c>
      <c r="D391" t="inlineStr">
        <is>
          <t>VÄSTERNORRLANDS LÄN</t>
        </is>
      </c>
      <c r="E391" t="inlineStr">
        <is>
          <t>SOLLEFTEÅ</t>
        </is>
      </c>
      <c r="F391" t="inlineStr">
        <is>
          <t>SCA</t>
        </is>
      </c>
      <c r="G391" t="n">
        <v>2.5</v>
      </c>
      <c r="H391" t="n">
        <v>0</v>
      </c>
      <c r="I391" t="n">
        <v>0</v>
      </c>
      <c r="J391" t="n">
        <v>2</v>
      </c>
      <c r="K391" t="n">
        <v>0</v>
      </c>
      <c r="L391" t="n">
        <v>0</v>
      </c>
      <c r="M391" t="n">
        <v>0</v>
      </c>
      <c r="N391" t="n">
        <v>0</v>
      </c>
      <c r="O391" t="n">
        <v>2</v>
      </c>
      <c r="P391" t="n">
        <v>0</v>
      </c>
      <c r="Q391" t="n">
        <v>2</v>
      </c>
      <c r="R391" s="2" t="inlineStr">
        <is>
          <t>Kandelabersvamp
Stiftgelélav</t>
        </is>
      </c>
      <c r="S391">
        <f>HYPERLINK("https://klasma.github.io/Logging_2283/artfynd/A 20956-2022 artfynd.xlsx", "A 20956-2022")</f>
        <v/>
      </c>
      <c r="T391">
        <f>HYPERLINK("https://klasma.github.io/Logging_2283/kartor/A 20956-2022 karta.png", "A 20956-2022")</f>
        <v/>
      </c>
      <c r="V391">
        <f>HYPERLINK("https://klasma.github.io/Logging_2283/klagomål/A 20956-2022 FSC-klagomål.docx", "A 20956-2022")</f>
        <v/>
      </c>
      <c r="W391">
        <f>HYPERLINK("https://klasma.github.io/Logging_2283/klagomålsmail/A 20956-2022 FSC-klagomål mail.docx", "A 20956-2022")</f>
        <v/>
      </c>
      <c r="X391">
        <f>HYPERLINK("https://klasma.github.io/Logging_2283/tillsyn/A 20956-2022 tillsynsbegäran.docx", "A 20956-2022")</f>
        <v/>
      </c>
      <c r="Y391">
        <f>HYPERLINK("https://klasma.github.io/Logging_2283/tillsynsmail/A 20956-2022 tillsynsbegäran mail.docx", "A 20956-2022")</f>
        <v/>
      </c>
    </row>
    <row r="392" ht="15" customHeight="1">
      <c r="A392" t="inlineStr">
        <is>
          <t>A 22567-2022</t>
        </is>
      </c>
      <c r="B392" s="1" t="n">
        <v>44713</v>
      </c>
      <c r="C392" s="1" t="n">
        <v>45218</v>
      </c>
      <c r="D392" t="inlineStr">
        <is>
          <t>VÄSTERNORRLANDS LÄN</t>
        </is>
      </c>
      <c r="E392" t="inlineStr">
        <is>
          <t>SUNDSVALL</t>
        </is>
      </c>
      <c r="F392" t="inlineStr">
        <is>
          <t>SCA</t>
        </is>
      </c>
      <c r="G392" t="n">
        <v>4.5</v>
      </c>
      <c r="H392" t="n">
        <v>0</v>
      </c>
      <c r="I392" t="n">
        <v>0</v>
      </c>
      <c r="J392" t="n">
        <v>2</v>
      </c>
      <c r="K392" t="n">
        <v>0</v>
      </c>
      <c r="L392" t="n">
        <v>0</v>
      </c>
      <c r="M392" t="n">
        <v>0</v>
      </c>
      <c r="N392" t="n">
        <v>0</v>
      </c>
      <c r="O392" t="n">
        <v>2</v>
      </c>
      <c r="P392" t="n">
        <v>0</v>
      </c>
      <c r="Q392" t="n">
        <v>2</v>
      </c>
      <c r="R392" s="2" t="inlineStr">
        <is>
          <t>Garnlav
Granticka</t>
        </is>
      </c>
      <c r="S392">
        <f>HYPERLINK("https://klasma.github.io/Logging_2281/artfynd/A 22567-2022 artfynd.xlsx", "A 22567-2022")</f>
        <v/>
      </c>
      <c r="T392">
        <f>HYPERLINK("https://klasma.github.io/Logging_2281/kartor/A 22567-2022 karta.png", "A 22567-2022")</f>
        <v/>
      </c>
      <c r="V392">
        <f>HYPERLINK("https://klasma.github.io/Logging_2281/klagomål/A 22567-2022 FSC-klagomål.docx", "A 22567-2022")</f>
        <v/>
      </c>
      <c r="W392">
        <f>HYPERLINK("https://klasma.github.io/Logging_2281/klagomålsmail/A 22567-2022 FSC-klagomål mail.docx", "A 22567-2022")</f>
        <v/>
      </c>
      <c r="X392">
        <f>HYPERLINK("https://klasma.github.io/Logging_2281/tillsyn/A 22567-2022 tillsynsbegäran.docx", "A 22567-2022")</f>
        <v/>
      </c>
      <c r="Y392">
        <f>HYPERLINK("https://klasma.github.io/Logging_2281/tillsynsmail/A 22567-2022 tillsynsbegäran mail.docx", "A 22567-2022")</f>
        <v/>
      </c>
    </row>
    <row r="393" ht="15" customHeight="1">
      <c r="A393" t="inlineStr">
        <is>
          <t>A 24321-2022</t>
        </is>
      </c>
      <c r="B393" s="1" t="n">
        <v>44725</v>
      </c>
      <c r="C393" s="1" t="n">
        <v>45218</v>
      </c>
      <c r="D393" t="inlineStr">
        <is>
          <t>VÄSTERNORRLANDS LÄN</t>
        </is>
      </c>
      <c r="E393" t="inlineStr">
        <is>
          <t>SOLLEFTEÅ</t>
        </is>
      </c>
      <c r="F393" t="inlineStr">
        <is>
          <t>SCA</t>
        </is>
      </c>
      <c r="G393" t="n">
        <v>1.1</v>
      </c>
      <c r="H393" t="n">
        <v>1</v>
      </c>
      <c r="I393" t="n">
        <v>0</v>
      </c>
      <c r="J393" t="n">
        <v>1</v>
      </c>
      <c r="K393" t="n">
        <v>1</v>
      </c>
      <c r="L393" t="n">
        <v>0</v>
      </c>
      <c r="M393" t="n">
        <v>0</v>
      </c>
      <c r="N393" t="n">
        <v>0</v>
      </c>
      <c r="O393" t="n">
        <v>2</v>
      </c>
      <c r="P393" t="n">
        <v>1</v>
      </c>
      <c r="Q393" t="n">
        <v>2</v>
      </c>
      <c r="R393" s="2" t="inlineStr">
        <is>
          <t>Knärot
Garnlav</t>
        </is>
      </c>
      <c r="S393">
        <f>HYPERLINK("https://klasma.github.io/Logging_2283/artfynd/A 24321-2022 artfynd.xlsx", "A 24321-2022")</f>
        <v/>
      </c>
      <c r="T393">
        <f>HYPERLINK("https://klasma.github.io/Logging_2283/kartor/A 24321-2022 karta.png", "A 24321-2022")</f>
        <v/>
      </c>
      <c r="U393">
        <f>HYPERLINK("https://klasma.github.io/Logging_2283/knärot/A 24321-2022 karta knärot.png", "A 24321-2022")</f>
        <v/>
      </c>
      <c r="V393">
        <f>HYPERLINK("https://klasma.github.io/Logging_2283/klagomål/A 24321-2022 FSC-klagomål.docx", "A 24321-2022")</f>
        <v/>
      </c>
      <c r="W393">
        <f>HYPERLINK("https://klasma.github.io/Logging_2283/klagomålsmail/A 24321-2022 FSC-klagomål mail.docx", "A 24321-2022")</f>
        <v/>
      </c>
      <c r="X393">
        <f>HYPERLINK("https://klasma.github.io/Logging_2283/tillsyn/A 24321-2022 tillsynsbegäran.docx", "A 24321-2022")</f>
        <v/>
      </c>
      <c r="Y393">
        <f>HYPERLINK("https://klasma.github.io/Logging_2283/tillsynsmail/A 24321-2022 tillsynsbegäran mail.docx", "A 24321-2022")</f>
        <v/>
      </c>
    </row>
    <row r="394" ht="15" customHeight="1">
      <c r="A394" t="inlineStr">
        <is>
          <t>A 29549-2022</t>
        </is>
      </c>
      <c r="B394" s="1" t="n">
        <v>44753</v>
      </c>
      <c r="C394" s="1" t="n">
        <v>45218</v>
      </c>
      <c r="D394" t="inlineStr">
        <is>
          <t>VÄSTERNORRLANDS LÄN</t>
        </is>
      </c>
      <c r="E394" t="inlineStr">
        <is>
          <t>SOLLEFTEÅ</t>
        </is>
      </c>
      <c r="F394" t="inlineStr">
        <is>
          <t>SCA</t>
        </is>
      </c>
      <c r="G394" t="n">
        <v>36.7</v>
      </c>
      <c r="H394" t="n">
        <v>0</v>
      </c>
      <c r="I394" t="n">
        <v>0</v>
      </c>
      <c r="J394" t="n">
        <v>2</v>
      </c>
      <c r="K394" t="n">
        <v>0</v>
      </c>
      <c r="L394" t="n">
        <v>0</v>
      </c>
      <c r="M394" t="n">
        <v>0</v>
      </c>
      <c r="N394" t="n">
        <v>0</v>
      </c>
      <c r="O394" t="n">
        <v>2</v>
      </c>
      <c r="P394" t="n">
        <v>0</v>
      </c>
      <c r="Q394" t="n">
        <v>2</v>
      </c>
      <c r="R394" s="2" t="inlineStr">
        <is>
          <t>Kolflarnlav
Skrovlig taggsvamp</t>
        </is>
      </c>
      <c r="S394">
        <f>HYPERLINK("https://klasma.github.io/Logging_2283/artfynd/A 29549-2022 artfynd.xlsx", "A 29549-2022")</f>
        <v/>
      </c>
      <c r="T394">
        <f>HYPERLINK("https://klasma.github.io/Logging_2283/kartor/A 29549-2022 karta.png", "A 29549-2022")</f>
        <v/>
      </c>
      <c r="V394">
        <f>HYPERLINK("https://klasma.github.io/Logging_2283/klagomål/A 29549-2022 FSC-klagomål.docx", "A 29549-2022")</f>
        <v/>
      </c>
      <c r="W394">
        <f>HYPERLINK("https://klasma.github.io/Logging_2283/klagomålsmail/A 29549-2022 FSC-klagomål mail.docx", "A 29549-2022")</f>
        <v/>
      </c>
      <c r="X394">
        <f>HYPERLINK("https://klasma.github.io/Logging_2283/tillsyn/A 29549-2022 tillsynsbegäran.docx", "A 29549-2022")</f>
        <v/>
      </c>
      <c r="Y394">
        <f>HYPERLINK("https://klasma.github.io/Logging_2283/tillsynsmail/A 29549-2022 tillsynsbegäran mail.docx", "A 29549-2022")</f>
        <v/>
      </c>
    </row>
    <row r="395" ht="15" customHeight="1">
      <c r="A395" t="inlineStr">
        <is>
          <t>A 30235-2022</t>
        </is>
      </c>
      <c r="B395" s="1" t="n">
        <v>44757</v>
      </c>
      <c r="C395" s="1" t="n">
        <v>45218</v>
      </c>
      <c r="D395" t="inlineStr">
        <is>
          <t>VÄSTERNORRLANDS LÄN</t>
        </is>
      </c>
      <c r="E395" t="inlineStr">
        <is>
          <t>SOLLEFTEÅ</t>
        </is>
      </c>
      <c r="F395" t="inlineStr">
        <is>
          <t>SCA</t>
        </is>
      </c>
      <c r="G395" t="n">
        <v>4.7</v>
      </c>
      <c r="H395" t="n">
        <v>2</v>
      </c>
      <c r="I395" t="n">
        <v>0</v>
      </c>
      <c r="J395" t="n">
        <v>0</v>
      </c>
      <c r="K395" t="n">
        <v>2</v>
      </c>
      <c r="L395" t="n">
        <v>0</v>
      </c>
      <c r="M395" t="n">
        <v>0</v>
      </c>
      <c r="N395" t="n">
        <v>0</v>
      </c>
      <c r="O395" t="n">
        <v>2</v>
      </c>
      <c r="P395" t="n">
        <v>2</v>
      </c>
      <c r="Q395" t="n">
        <v>2</v>
      </c>
      <c r="R395" s="2" t="inlineStr">
        <is>
          <t>Doftticka
Knärot</t>
        </is>
      </c>
      <c r="S395">
        <f>HYPERLINK("https://klasma.github.io/Logging_2283/artfynd/A 30235-2022 artfynd.xlsx", "A 30235-2022")</f>
        <v/>
      </c>
      <c r="T395">
        <f>HYPERLINK("https://klasma.github.io/Logging_2283/kartor/A 30235-2022 karta.png", "A 30235-2022")</f>
        <v/>
      </c>
      <c r="U395">
        <f>HYPERLINK("https://klasma.github.io/Logging_2283/knärot/A 30235-2022 karta knärot.png", "A 30235-2022")</f>
        <v/>
      </c>
      <c r="V395">
        <f>HYPERLINK("https://klasma.github.io/Logging_2283/klagomål/A 30235-2022 FSC-klagomål.docx", "A 30235-2022")</f>
        <v/>
      </c>
      <c r="W395">
        <f>HYPERLINK("https://klasma.github.io/Logging_2283/klagomålsmail/A 30235-2022 FSC-klagomål mail.docx", "A 30235-2022")</f>
        <v/>
      </c>
      <c r="X395">
        <f>HYPERLINK("https://klasma.github.io/Logging_2283/tillsyn/A 30235-2022 tillsynsbegäran.docx", "A 30235-2022")</f>
        <v/>
      </c>
      <c r="Y395">
        <f>HYPERLINK("https://klasma.github.io/Logging_2283/tillsynsmail/A 30235-2022 tillsynsbegäran mail.docx", "A 30235-2022")</f>
        <v/>
      </c>
    </row>
    <row r="396" ht="15" customHeight="1">
      <c r="A396" t="inlineStr">
        <is>
          <t>A 32766-2022</t>
        </is>
      </c>
      <c r="B396" s="1" t="n">
        <v>44783</v>
      </c>
      <c r="C396" s="1" t="n">
        <v>45218</v>
      </c>
      <c r="D396" t="inlineStr">
        <is>
          <t>VÄSTERNORRLANDS LÄN</t>
        </is>
      </c>
      <c r="E396" t="inlineStr">
        <is>
          <t>SUNDSVALL</t>
        </is>
      </c>
      <c r="F396" t="inlineStr">
        <is>
          <t>SCA</t>
        </is>
      </c>
      <c r="G396" t="n">
        <v>6.3</v>
      </c>
      <c r="H396" t="n">
        <v>0</v>
      </c>
      <c r="I396" t="n">
        <v>1</v>
      </c>
      <c r="J396" t="n">
        <v>1</v>
      </c>
      <c r="K396" t="n">
        <v>0</v>
      </c>
      <c r="L396" t="n">
        <v>0</v>
      </c>
      <c r="M396" t="n">
        <v>0</v>
      </c>
      <c r="N396" t="n">
        <v>0</v>
      </c>
      <c r="O396" t="n">
        <v>1</v>
      </c>
      <c r="P396" t="n">
        <v>0</v>
      </c>
      <c r="Q396" t="n">
        <v>2</v>
      </c>
      <c r="R396" s="2" t="inlineStr">
        <is>
          <t>Lunglav
Stor aspticka</t>
        </is>
      </c>
      <c r="S396">
        <f>HYPERLINK("https://klasma.github.io/Logging_2281/artfynd/A 32766-2022 artfynd.xlsx", "A 32766-2022")</f>
        <v/>
      </c>
      <c r="T396">
        <f>HYPERLINK("https://klasma.github.io/Logging_2281/kartor/A 32766-2022 karta.png", "A 32766-2022")</f>
        <v/>
      </c>
      <c r="V396">
        <f>HYPERLINK("https://klasma.github.io/Logging_2281/klagomål/A 32766-2022 FSC-klagomål.docx", "A 32766-2022")</f>
        <v/>
      </c>
      <c r="W396">
        <f>HYPERLINK("https://klasma.github.io/Logging_2281/klagomålsmail/A 32766-2022 FSC-klagomål mail.docx", "A 32766-2022")</f>
        <v/>
      </c>
      <c r="X396">
        <f>HYPERLINK("https://klasma.github.io/Logging_2281/tillsyn/A 32766-2022 tillsynsbegäran.docx", "A 32766-2022")</f>
        <v/>
      </c>
      <c r="Y396">
        <f>HYPERLINK("https://klasma.github.io/Logging_2281/tillsynsmail/A 32766-2022 tillsynsbegäran mail.docx", "A 32766-2022")</f>
        <v/>
      </c>
    </row>
    <row r="397" ht="15" customHeight="1">
      <c r="A397" t="inlineStr">
        <is>
          <t>A 33087-2022</t>
        </is>
      </c>
      <c r="B397" s="1" t="n">
        <v>44785</v>
      </c>
      <c r="C397" s="1" t="n">
        <v>45218</v>
      </c>
      <c r="D397" t="inlineStr">
        <is>
          <t>VÄSTERNORRLANDS LÄN</t>
        </is>
      </c>
      <c r="E397" t="inlineStr">
        <is>
          <t>SOLLEFTEÅ</t>
        </is>
      </c>
      <c r="G397" t="n">
        <v>0.5</v>
      </c>
      <c r="H397" t="n">
        <v>0</v>
      </c>
      <c r="I397" t="n">
        <v>0</v>
      </c>
      <c r="J397" t="n">
        <v>2</v>
      </c>
      <c r="K397" t="n">
        <v>0</v>
      </c>
      <c r="L397" t="n">
        <v>0</v>
      </c>
      <c r="M397" t="n">
        <v>0</v>
      </c>
      <c r="N397" t="n">
        <v>0</v>
      </c>
      <c r="O397" t="n">
        <v>2</v>
      </c>
      <c r="P397" t="n">
        <v>0</v>
      </c>
      <c r="Q397" t="n">
        <v>2</v>
      </c>
      <c r="R397" s="2" t="inlineStr">
        <is>
          <t>Garnlav
Lunglav</t>
        </is>
      </c>
      <c r="S397">
        <f>HYPERLINK("https://klasma.github.io/Logging_2283/artfynd/A 33087-2022 artfynd.xlsx", "A 33087-2022")</f>
        <v/>
      </c>
      <c r="T397">
        <f>HYPERLINK("https://klasma.github.io/Logging_2283/kartor/A 33087-2022 karta.png", "A 33087-2022")</f>
        <v/>
      </c>
      <c r="V397">
        <f>HYPERLINK("https://klasma.github.io/Logging_2283/klagomål/A 33087-2022 FSC-klagomål.docx", "A 33087-2022")</f>
        <v/>
      </c>
      <c r="W397">
        <f>HYPERLINK("https://klasma.github.io/Logging_2283/klagomålsmail/A 33087-2022 FSC-klagomål mail.docx", "A 33087-2022")</f>
        <v/>
      </c>
      <c r="X397">
        <f>HYPERLINK("https://klasma.github.io/Logging_2283/tillsyn/A 33087-2022 tillsynsbegäran.docx", "A 33087-2022")</f>
        <v/>
      </c>
      <c r="Y397">
        <f>HYPERLINK("https://klasma.github.io/Logging_2283/tillsynsmail/A 33087-2022 tillsynsbegäran mail.docx", "A 33087-2022")</f>
        <v/>
      </c>
    </row>
    <row r="398" ht="15" customHeight="1">
      <c r="A398" t="inlineStr">
        <is>
          <t>A 34526-2022</t>
        </is>
      </c>
      <c r="B398" s="1" t="n">
        <v>44792</v>
      </c>
      <c r="C398" s="1" t="n">
        <v>45218</v>
      </c>
      <c r="D398" t="inlineStr">
        <is>
          <t>VÄSTERNORRLANDS LÄN</t>
        </is>
      </c>
      <c r="E398" t="inlineStr">
        <is>
          <t>SOLLEFTEÅ</t>
        </is>
      </c>
      <c r="F398" t="inlineStr">
        <is>
          <t>SCA</t>
        </is>
      </c>
      <c r="G398" t="n">
        <v>1.4</v>
      </c>
      <c r="H398" t="n">
        <v>0</v>
      </c>
      <c r="I398" t="n">
        <v>0</v>
      </c>
      <c r="J398" t="n">
        <v>2</v>
      </c>
      <c r="K398" t="n">
        <v>0</v>
      </c>
      <c r="L398" t="n">
        <v>0</v>
      </c>
      <c r="M398" t="n">
        <v>0</v>
      </c>
      <c r="N398" t="n">
        <v>0</v>
      </c>
      <c r="O398" t="n">
        <v>2</v>
      </c>
      <c r="P398" t="n">
        <v>0</v>
      </c>
      <c r="Q398" t="n">
        <v>2</v>
      </c>
      <c r="R398" s="2" t="inlineStr">
        <is>
          <t>Garnlav
Mörk kolflarnlav</t>
        </is>
      </c>
      <c r="S398">
        <f>HYPERLINK("https://klasma.github.io/Logging_2283/artfynd/A 34526-2022 artfynd.xlsx", "A 34526-2022")</f>
        <v/>
      </c>
      <c r="T398">
        <f>HYPERLINK("https://klasma.github.io/Logging_2283/kartor/A 34526-2022 karta.png", "A 34526-2022")</f>
        <v/>
      </c>
      <c r="V398">
        <f>HYPERLINK("https://klasma.github.io/Logging_2283/klagomål/A 34526-2022 FSC-klagomål.docx", "A 34526-2022")</f>
        <v/>
      </c>
      <c r="W398">
        <f>HYPERLINK("https://klasma.github.io/Logging_2283/klagomålsmail/A 34526-2022 FSC-klagomål mail.docx", "A 34526-2022")</f>
        <v/>
      </c>
      <c r="X398">
        <f>HYPERLINK("https://klasma.github.io/Logging_2283/tillsyn/A 34526-2022 tillsynsbegäran.docx", "A 34526-2022")</f>
        <v/>
      </c>
      <c r="Y398">
        <f>HYPERLINK("https://klasma.github.io/Logging_2283/tillsynsmail/A 34526-2022 tillsynsbegäran mail.docx", "A 34526-2022")</f>
        <v/>
      </c>
    </row>
    <row r="399" ht="15" customHeight="1">
      <c r="A399" t="inlineStr">
        <is>
          <t>A 37243-2022</t>
        </is>
      </c>
      <c r="B399" s="1" t="n">
        <v>44806</v>
      </c>
      <c r="C399" s="1" t="n">
        <v>45218</v>
      </c>
      <c r="D399" t="inlineStr">
        <is>
          <t>VÄSTERNORRLANDS LÄN</t>
        </is>
      </c>
      <c r="E399" t="inlineStr">
        <is>
          <t>SOLLEFTEÅ</t>
        </is>
      </c>
      <c r="F399" t="inlineStr">
        <is>
          <t>SCA</t>
        </is>
      </c>
      <c r="G399" t="n">
        <v>7.1</v>
      </c>
      <c r="H399" t="n">
        <v>0</v>
      </c>
      <c r="I399" t="n">
        <v>1</v>
      </c>
      <c r="J399" t="n">
        <v>1</v>
      </c>
      <c r="K399" t="n">
        <v>0</v>
      </c>
      <c r="L399" t="n">
        <v>0</v>
      </c>
      <c r="M399" t="n">
        <v>0</v>
      </c>
      <c r="N399" t="n">
        <v>0</v>
      </c>
      <c r="O399" t="n">
        <v>1</v>
      </c>
      <c r="P399" t="n">
        <v>0</v>
      </c>
      <c r="Q399" t="n">
        <v>2</v>
      </c>
      <c r="R399" s="2" t="inlineStr">
        <is>
          <t>Violettgrå tagellav
Dropptaggsvamp</t>
        </is>
      </c>
      <c r="S399">
        <f>HYPERLINK("https://klasma.github.io/Logging_2283/artfynd/A 37243-2022 artfynd.xlsx", "A 37243-2022")</f>
        <v/>
      </c>
      <c r="T399">
        <f>HYPERLINK("https://klasma.github.io/Logging_2283/kartor/A 37243-2022 karta.png", "A 37243-2022")</f>
        <v/>
      </c>
      <c r="V399">
        <f>HYPERLINK("https://klasma.github.io/Logging_2283/klagomål/A 37243-2022 FSC-klagomål.docx", "A 37243-2022")</f>
        <v/>
      </c>
      <c r="W399">
        <f>HYPERLINK("https://klasma.github.io/Logging_2283/klagomålsmail/A 37243-2022 FSC-klagomål mail.docx", "A 37243-2022")</f>
        <v/>
      </c>
      <c r="X399">
        <f>HYPERLINK("https://klasma.github.io/Logging_2283/tillsyn/A 37243-2022 tillsynsbegäran.docx", "A 37243-2022")</f>
        <v/>
      </c>
      <c r="Y399">
        <f>HYPERLINK("https://klasma.github.io/Logging_2283/tillsynsmail/A 37243-2022 tillsynsbegäran mail.docx", "A 37243-2022")</f>
        <v/>
      </c>
    </row>
    <row r="400" ht="15" customHeight="1">
      <c r="A400" t="inlineStr">
        <is>
          <t>A 38429-2022</t>
        </is>
      </c>
      <c r="B400" s="1" t="n">
        <v>44812</v>
      </c>
      <c r="C400" s="1" t="n">
        <v>45218</v>
      </c>
      <c r="D400" t="inlineStr">
        <is>
          <t>VÄSTERNORRLANDS LÄN</t>
        </is>
      </c>
      <c r="E400" t="inlineStr">
        <is>
          <t>ÅNGE</t>
        </is>
      </c>
      <c r="F400" t="inlineStr">
        <is>
          <t>SCA</t>
        </is>
      </c>
      <c r="G400" t="n">
        <v>4.2</v>
      </c>
      <c r="H400" t="n">
        <v>1</v>
      </c>
      <c r="I400" t="n">
        <v>0</v>
      </c>
      <c r="J400" t="n">
        <v>1</v>
      </c>
      <c r="K400" t="n">
        <v>1</v>
      </c>
      <c r="L400" t="n">
        <v>0</v>
      </c>
      <c r="M400" t="n">
        <v>0</v>
      </c>
      <c r="N400" t="n">
        <v>0</v>
      </c>
      <c r="O400" t="n">
        <v>2</v>
      </c>
      <c r="P400" t="n">
        <v>1</v>
      </c>
      <c r="Q400" t="n">
        <v>2</v>
      </c>
      <c r="R400" s="2" t="inlineStr">
        <is>
          <t>Doftticka
Lunglav</t>
        </is>
      </c>
      <c r="S400">
        <f>HYPERLINK("https://klasma.github.io/Logging_2260/artfynd/A 38429-2022 artfynd.xlsx", "A 38429-2022")</f>
        <v/>
      </c>
      <c r="T400">
        <f>HYPERLINK("https://klasma.github.io/Logging_2260/kartor/A 38429-2022 karta.png", "A 38429-2022")</f>
        <v/>
      </c>
      <c r="V400">
        <f>HYPERLINK("https://klasma.github.io/Logging_2260/klagomål/A 38429-2022 FSC-klagomål.docx", "A 38429-2022")</f>
        <v/>
      </c>
      <c r="W400">
        <f>HYPERLINK("https://klasma.github.io/Logging_2260/klagomålsmail/A 38429-2022 FSC-klagomål mail.docx", "A 38429-2022")</f>
        <v/>
      </c>
      <c r="X400">
        <f>HYPERLINK("https://klasma.github.io/Logging_2260/tillsyn/A 38429-2022 tillsynsbegäran.docx", "A 38429-2022")</f>
        <v/>
      </c>
      <c r="Y400">
        <f>HYPERLINK("https://klasma.github.io/Logging_2260/tillsynsmail/A 38429-2022 tillsynsbegäran mail.docx", "A 38429-2022")</f>
        <v/>
      </c>
    </row>
    <row r="401" ht="15" customHeight="1">
      <c r="A401" t="inlineStr">
        <is>
          <t>A 41814-2022</t>
        </is>
      </c>
      <c r="B401" s="1" t="n">
        <v>44827</v>
      </c>
      <c r="C401" s="1" t="n">
        <v>45218</v>
      </c>
      <c r="D401" t="inlineStr">
        <is>
          <t>VÄSTERNORRLANDS LÄN</t>
        </is>
      </c>
      <c r="E401" t="inlineStr">
        <is>
          <t>SUNDSVALL</t>
        </is>
      </c>
      <c r="F401" t="inlineStr">
        <is>
          <t>SCA</t>
        </is>
      </c>
      <c r="G401" t="n">
        <v>3.8</v>
      </c>
      <c r="H401" t="n">
        <v>1</v>
      </c>
      <c r="I401" t="n">
        <v>0</v>
      </c>
      <c r="J401" t="n">
        <v>1</v>
      </c>
      <c r="K401" t="n">
        <v>0</v>
      </c>
      <c r="L401" t="n">
        <v>0</v>
      </c>
      <c r="M401" t="n">
        <v>0</v>
      </c>
      <c r="N401" t="n">
        <v>0</v>
      </c>
      <c r="O401" t="n">
        <v>1</v>
      </c>
      <c r="P401" t="n">
        <v>0</v>
      </c>
      <c r="Q401" t="n">
        <v>2</v>
      </c>
      <c r="R401" s="2" t="inlineStr">
        <is>
          <t>Lunglav
Revlummer</t>
        </is>
      </c>
      <c r="S401">
        <f>HYPERLINK("https://klasma.github.io/Logging_2281/artfynd/A 41814-2022 artfynd.xlsx", "A 41814-2022")</f>
        <v/>
      </c>
      <c r="T401">
        <f>HYPERLINK("https://klasma.github.io/Logging_2281/kartor/A 41814-2022 karta.png", "A 41814-2022")</f>
        <v/>
      </c>
      <c r="V401">
        <f>HYPERLINK("https://klasma.github.io/Logging_2281/klagomål/A 41814-2022 FSC-klagomål.docx", "A 41814-2022")</f>
        <v/>
      </c>
      <c r="W401">
        <f>HYPERLINK("https://klasma.github.io/Logging_2281/klagomålsmail/A 41814-2022 FSC-klagomål mail.docx", "A 41814-2022")</f>
        <v/>
      </c>
      <c r="X401">
        <f>HYPERLINK("https://klasma.github.io/Logging_2281/tillsyn/A 41814-2022 tillsynsbegäran.docx", "A 41814-2022")</f>
        <v/>
      </c>
      <c r="Y401">
        <f>HYPERLINK("https://klasma.github.io/Logging_2281/tillsynsmail/A 41814-2022 tillsynsbegäran mail.docx", "A 41814-2022")</f>
        <v/>
      </c>
    </row>
    <row r="402" ht="15" customHeight="1">
      <c r="A402" t="inlineStr">
        <is>
          <t>A 41509-2022</t>
        </is>
      </c>
      <c r="B402" s="1" t="n">
        <v>44827</v>
      </c>
      <c r="C402" s="1" t="n">
        <v>45218</v>
      </c>
      <c r="D402" t="inlineStr">
        <is>
          <t>VÄSTERNORRLANDS LÄN</t>
        </is>
      </c>
      <c r="E402" t="inlineStr">
        <is>
          <t>SOLLEFTEÅ</t>
        </is>
      </c>
      <c r="F402" t="inlineStr">
        <is>
          <t>Holmen skog AB</t>
        </is>
      </c>
      <c r="G402" t="n">
        <v>10.7</v>
      </c>
      <c r="H402" t="n">
        <v>0</v>
      </c>
      <c r="I402" t="n">
        <v>0</v>
      </c>
      <c r="J402" t="n">
        <v>1</v>
      </c>
      <c r="K402" t="n">
        <v>1</v>
      </c>
      <c r="L402" t="n">
        <v>0</v>
      </c>
      <c r="M402" t="n">
        <v>0</v>
      </c>
      <c r="N402" t="n">
        <v>0</v>
      </c>
      <c r="O402" t="n">
        <v>2</v>
      </c>
      <c r="P402" t="n">
        <v>1</v>
      </c>
      <c r="Q402" t="n">
        <v>2</v>
      </c>
      <c r="R402" s="2" t="inlineStr">
        <is>
          <t>Rynkskinn
Lunglav</t>
        </is>
      </c>
      <c r="S402">
        <f>HYPERLINK("https://klasma.github.io/Logging_2283/artfynd/A 41509-2022 artfynd.xlsx", "A 41509-2022")</f>
        <v/>
      </c>
      <c r="T402">
        <f>HYPERLINK("https://klasma.github.io/Logging_2283/kartor/A 41509-2022 karta.png", "A 41509-2022")</f>
        <v/>
      </c>
      <c r="V402">
        <f>HYPERLINK("https://klasma.github.io/Logging_2283/klagomål/A 41509-2022 FSC-klagomål.docx", "A 41509-2022")</f>
        <v/>
      </c>
      <c r="W402">
        <f>HYPERLINK("https://klasma.github.io/Logging_2283/klagomålsmail/A 41509-2022 FSC-klagomål mail.docx", "A 41509-2022")</f>
        <v/>
      </c>
      <c r="X402">
        <f>HYPERLINK("https://klasma.github.io/Logging_2283/tillsyn/A 41509-2022 tillsynsbegäran.docx", "A 41509-2022")</f>
        <v/>
      </c>
      <c r="Y402">
        <f>HYPERLINK("https://klasma.github.io/Logging_2283/tillsynsmail/A 41509-2022 tillsynsbegäran mail.docx", "A 41509-2022")</f>
        <v/>
      </c>
    </row>
    <row r="403" ht="15" customHeight="1">
      <c r="A403" t="inlineStr">
        <is>
          <t>A 42284-2022</t>
        </is>
      </c>
      <c r="B403" s="1" t="n">
        <v>44830</v>
      </c>
      <c r="C403" s="1" t="n">
        <v>45218</v>
      </c>
      <c r="D403" t="inlineStr">
        <is>
          <t>VÄSTERNORRLANDS LÄN</t>
        </is>
      </c>
      <c r="E403" t="inlineStr">
        <is>
          <t>TIMRÅ</t>
        </is>
      </c>
      <c r="F403" t="inlineStr">
        <is>
          <t>SCA</t>
        </is>
      </c>
      <c r="G403" t="n">
        <v>7.4</v>
      </c>
      <c r="H403" t="n">
        <v>0</v>
      </c>
      <c r="I403" t="n">
        <v>0</v>
      </c>
      <c r="J403" t="n">
        <v>2</v>
      </c>
      <c r="K403" t="n">
        <v>0</v>
      </c>
      <c r="L403" t="n">
        <v>0</v>
      </c>
      <c r="M403" t="n">
        <v>0</v>
      </c>
      <c r="N403" t="n">
        <v>0</v>
      </c>
      <c r="O403" t="n">
        <v>2</v>
      </c>
      <c r="P403" t="n">
        <v>0</v>
      </c>
      <c r="Q403" t="n">
        <v>2</v>
      </c>
      <c r="R403" s="2" t="inlineStr">
        <is>
          <t>Garnlav
Violettgrå tagellav</t>
        </is>
      </c>
      <c r="S403">
        <f>HYPERLINK("https://klasma.github.io/Logging_2262/artfynd/A 42284-2022 artfynd.xlsx", "A 42284-2022")</f>
        <v/>
      </c>
      <c r="T403">
        <f>HYPERLINK("https://klasma.github.io/Logging_2262/kartor/A 42284-2022 karta.png", "A 42284-2022")</f>
        <v/>
      </c>
      <c r="V403">
        <f>HYPERLINK("https://klasma.github.io/Logging_2262/klagomål/A 42284-2022 FSC-klagomål.docx", "A 42284-2022")</f>
        <v/>
      </c>
      <c r="W403">
        <f>HYPERLINK("https://klasma.github.io/Logging_2262/klagomålsmail/A 42284-2022 FSC-klagomål mail.docx", "A 42284-2022")</f>
        <v/>
      </c>
      <c r="X403">
        <f>HYPERLINK("https://klasma.github.io/Logging_2262/tillsyn/A 42284-2022 tillsynsbegäran.docx", "A 42284-2022")</f>
        <v/>
      </c>
      <c r="Y403">
        <f>HYPERLINK("https://klasma.github.io/Logging_2262/tillsynsmail/A 42284-2022 tillsynsbegäran mail.docx", "A 42284-2022")</f>
        <v/>
      </c>
    </row>
    <row r="404" ht="15" customHeight="1">
      <c r="A404" t="inlineStr">
        <is>
          <t>A 42285-2022</t>
        </is>
      </c>
      <c r="B404" s="1" t="n">
        <v>44830</v>
      </c>
      <c r="C404" s="1" t="n">
        <v>45218</v>
      </c>
      <c r="D404" t="inlineStr">
        <is>
          <t>VÄSTERNORRLANDS LÄN</t>
        </is>
      </c>
      <c r="E404" t="inlineStr">
        <is>
          <t>TIMRÅ</t>
        </is>
      </c>
      <c r="F404" t="inlineStr">
        <is>
          <t>SCA</t>
        </is>
      </c>
      <c r="G404" t="n">
        <v>2.9</v>
      </c>
      <c r="H404" t="n">
        <v>0</v>
      </c>
      <c r="I404" t="n">
        <v>2</v>
      </c>
      <c r="J404" t="n">
        <v>0</v>
      </c>
      <c r="K404" t="n">
        <v>0</v>
      </c>
      <c r="L404" t="n">
        <v>0</v>
      </c>
      <c r="M404" t="n">
        <v>0</v>
      </c>
      <c r="N404" t="n">
        <v>0</v>
      </c>
      <c r="O404" t="n">
        <v>0</v>
      </c>
      <c r="P404" t="n">
        <v>0</v>
      </c>
      <c r="Q404" t="n">
        <v>2</v>
      </c>
      <c r="R404" s="2" t="inlineStr">
        <is>
          <t>Korallblylav
Skinnlav</t>
        </is>
      </c>
      <c r="S404">
        <f>HYPERLINK("https://klasma.github.io/Logging_2262/artfynd/A 42285-2022 artfynd.xlsx", "A 42285-2022")</f>
        <v/>
      </c>
      <c r="T404">
        <f>HYPERLINK("https://klasma.github.io/Logging_2262/kartor/A 42285-2022 karta.png", "A 42285-2022")</f>
        <v/>
      </c>
      <c r="V404">
        <f>HYPERLINK("https://klasma.github.io/Logging_2262/klagomål/A 42285-2022 FSC-klagomål.docx", "A 42285-2022")</f>
        <v/>
      </c>
      <c r="W404">
        <f>HYPERLINK("https://klasma.github.io/Logging_2262/klagomålsmail/A 42285-2022 FSC-klagomål mail.docx", "A 42285-2022")</f>
        <v/>
      </c>
      <c r="X404">
        <f>HYPERLINK("https://klasma.github.io/Logging_2262/tillsyn/A 42285-2022 tillsynsbegäran.docx", "A 42285-2022")</f>
        <v/>
      </c>
      <c r="Y404">
        <f>HYPERLINK("https://klasma.github.io/Logging_2262/tillsynsmail/A 42285-2022 tillsynsbegäran mail.docx", "A 42285-2022")</f>
        <v/>
      </c>
    </row>
    <row r="405" ht="15" customHeight="1">
      <c r="A405" t="inlineStr">
        <is>
          <t>A 42283-2022</t>
        </is>
      </c>
      <c r="B405" s="1" t="n">
        <v>44830</v>
      </c>
      <c r="C405" s="1" t="n">
        <v>45218</v>
      </c>
      <c r="D405" t="inlineStr">
        <is>
          <t>VÄSTERNORRLANDS LÄN</t>
        </is>
      </c>
      <c r="E405" t="inlineStr">
        <is>
          <t>TIMRÅ</t>
        </is>
      </c>
      <c r="F405" t="inlineStr">
        <is>
          <t>SCA</t>
        </is>
      </c>
      <c r="G405" t="n">
        <v>5.2</v>
      </c>
      <c r="H405" t="n">
        <v>0</v>
      </c>
      <c r="I405" t="n">
        <v>0</v>
      </c>
      <c r="J405" t="n">
        <v>2</v>
      </c>
      <c r="K405" t="n">
        <v>0</v>
      </c>
      <c r="L405" t="n">
        <v>0</v>
      </c>
      <c r="M405" t="n">
        <v>0</v>
      </c>
      <c r="N405" t="n">
        <v>0</v>
      </c>
      <c r="O405" t="n">
        <v>2</v>
      </c>
      <c r="P405" t="n">
        <v>0</v>
      </c>
      <c r="Q405" t="n">
        <v>2</v>
      </c>
      <c r="R405" s="2" t="inlineStr">
        <is>
          <t>Garnlav
Lunglav</t>
        </is>
      </c>
      <c r="S405">
        <f>HYPERLINK("https://klasma.github.io/Logging_2262/artfynd/A 42283-2022 artfynd.xlsx", "A 42283-2022")</f>
        <v/>
      </c>
      <c r="T405">
        <f>HYPERLINK("https://klasma.github.io/Logging_2262/kartor/A 42283-2022 karta.png", "A 42283-2022")</f>
        <v/>
      </c>
      <c r="V405">
        <f>HYPERLINK("https://klasma.github.io/Logging_2262/klagomål/A 42283-2022 FSC-klagomål.docx", "A 42283-2022")</f>
        <v/>
      </c>
      <c r="W405">
        <f>HYPERLINK("https://klasma.github.io/Logging_2262/klagomålsmail/A 42283-2022 FSC-klagomål mail.docx", "A 42283-2022")</f>
        <v/>
      </c>
      <c r="X405">
        <f>HYPERLINK("https://klasma.github.io/Logging_2262/tillsyn/A 42283-2022 tillsynsbegäran.docx", "A 42283-2022")</f>
        <v/>
      </c>
      <c r="Y405">
        <f>HYPERLINK("https://klasma.github.io/Logging_2262/tillsynsmail/A 42283-2022 tillsynsbegäran mail.docx", "A 42283-2022")</f>
        <v/>
      </c>
    </row>
    <row r="406" ht="15" customHeight="1">
      <c r="A406" t="inlineStr">
        <is>
          <t>A 42889-2022</t>
        </is>
      </c>
      <c r="B406" s="1" t="n">
        <v>44832</v>
      </c>
      <c r="C406" s="1" t="n">
        <v>45218</v>
      </c>
      <c r="D406" t="inlineStr">
        <is>
          <t>VÄSTERNORRLANDS LÄN</t>
        </is>
      </c>
      <c r="E406" t="inlineStr">
        <is>
          <t>TIMRÅ</t>
        </is>
      </c>
      <c r="F406" t="inlineStr">
        <is>
          <t>SCA</t>
        </is>
      </c>
      <c r="G406" t="n">
        <v>2.7</v>
      </c>
      <c r="H406" t="n">
        <v>1</v>
      </c>
      <c r="I406" t="n">
        <v>0</v>
      </c>
      <c r="J406" t="n">
        <v>2</v>
      </c>
      <c r="K406" t="n">
        <v>0</v>
      </c>
      <c r="L406" t="n">
        <v>0</v>
      </c>
      <c r="M406" t="n">
        <v>0</v>
      </c>
      <c r="N406" t="n">
        <v>0</v>
      </c>
      <c r="O406" t="n">
        <v>2</v>
      </c>
      <c r="P406" t="n">
        <v>0</v>
      </c>
      <c r="Q406" t="n">
        <v>2</v>
      </c>
      <c r="R406" s="2" t="inlineStr">
        <is>
          <t>Garnlav
Tretåig hackspett</t>
        </is>
      </c>
      <c r="S406">
        <f>HYPERLINK("https://klasma.github.io/Logging_2262/artfynd/A 42889-2022 artfynd.xlsx", "A 42889-2022")</f>
        <v/>
      </c>
      <c r="T406">
        <f>HYPERLINK("https://klasma.github.io/Logging_2262/kartor/A 42889-2022 karta.png", "A 42889-2022")</f>
        <v/>
      </c>
      <c r="V406">
        <f>HYPERLINK("https://klasma.github.io/Logging_2262/klagomål/A 42889-2022 FSC-klagomål.docx", "A 42889-2022")</f>
        <v/>
      </c>
      <c r="W406">
        <f>HYPERLINK("https://klasma.github.io/Logging_2262/klagomålsmail/A 42889-2022 FSC-klagomål mail.docx", "A 42889-2022")</f>
        <v/>
      </c>
      <c r="X406">
        <f>HYPERLINK("https://klasma.github.io/Logging_2262/tillsyn/A 42889-2022 tillsynsbegäran.docx", "A 42889-2022")</f>
        <v/>
      </c>
      <c r="Y406">
        <f>HYPERLINK("https://klasma.github.io/Logging_2262/tillsynsmail/A 42889-2022 tillsynsbegäran mail.docx", "A 42889-2022")</f>
        <v/>
      </c>
    </row>
    <row r="407" ht="15" customHeight="1">
      <c r="A407" t="inlineStr">
        <is>
          <t>A 45083-2022</t>
        </is>
      </c>
      <c r="B407" s="1" t="n">
        <v>44841</v>
      </c>
      <c r="C407" s="1" t="n">
        <v>45218</v>
      </c>
      <c r="D407" t="inlineStr">
        <is>
          <t>VÄSTERNORRLANDS LÄN</t>
        </is>
      </c>
      <c r="E407" t="inlineStr">
        <is>
          <t>SOLLEFTEÅ</t>
        </is>
      </c>
      <c r="F407" t="inlineStr">
        <is>
          <t>SCA</t>
        </is>
      </c>
      <c r="G407" t="n">
        <v>4.3</v>
      </c>
      <c r="H407" t="n">
        <v>2</v>
      </c>
      <c r="I407" t="n">
        <v>0</v>
      </c>
      <c r="J407" t="n">
        <v>1</v>
      </c>
      <c r="K407" t="n">
        <v>0</v>
      </c>
      <c r="L407" t="n">
        <v>0</v>
      </c>
      <c r="M407" t="n">
        <v>0</v>
      </c>
      <c r="N407" t="n">
        <v>0</v>
      </c>
      <c r="O407" t="n">
        <v>1</v>
      </c>
      <c r="P407" t="n">
        <v>0</v>
      </c>
      <c r="Q407" t="n">
        <v>2</v>
      </c>
      <c r="R407" s="2" t="inlineStr">
        <is>
          <t>Talltita
Blåsippa</t>
        </is>
      </c>
      <c r="S407">
        <f>HYPERLINK("https://klasma.github.io/Logging_2283/artfynd/A 45083-2022 artfynd.xlsx", "A 45083-2022")</f>
        <v/>
      </c>
      <c r="T407">
        <f>HYPERLINK("https://klasma.github.io/Logging_2283/kartor/A 45083-2022 karta.png", "A 45083-2022")</f>
        <v/>
      </c>
      <c r="V407">
        <f>HYPERLINK("https://klasma.github.io/Logging_2283/klagomål/A 45083-2022 FSC-klagomål.docx", "A 45083-2022")</f>
        <v/>
      </c>
      <c r="W407">
        <f>HYPERLINK("https://klasma.github.io/Logging_2283/klagomålsmail/A 45083-2022 FSC-klagomål mail.docx", "A 45083-2022")</f>
        <v/>
      </c>
      <c r="X407">
        <f>HYPERLINK("https://klasma.github.io/Logging_2283/tillsyn/A 45083-2022 tillsynsbegäran.docx", "A 45083-2022")</f>
        <v/>
      </c>
      <c r="Y407">
        <f>HYPERLINK("https://klasma.github.io/Logging_2283/tillsynsmail/A 45083-2022 tillsynsbegäran mail.docx", "A 45083-2022")</f>
        <v/>
      </c>
    </row>
    <row r="408" ht="15" customHeight="1">
      <c r="A408" t="inlineStr">
        <is>
          <t>A 45084-2022</t>
        </is>
      </c>
      <c r="B408" s="1" t="n">
        <v>44841</v>
      </c>
      <c r="C408" s="1" t="n">
        <v>45218</v>
      </c>
      <c r="D408" t="inlineStr">
        <is>
          <t>VÄSTERNORRLANDS LÄN</t>
        </is>
      </c>
      <c r="E408" t="inlineStr">
        <is>
          <t>SOLLEFTEÅ</t>
        </is>
      </c>
      <c r="F408" t="inlineStr">
        <is>
          <t>SCA</t>
        </is>
      </c>
      <c r="G408" t="n">
        <v>5.5</v>
      </c>
      <c r="H408" t="n">
        <v>0</v>
      </c>
      <c r="I408" t="n">
        <v>0</v>
      </c>
      <c r="J408" t="n">
        <v>2</v>
      </c>
      <c r="K408" t="n">
        <v>0</v>
      </c>
      <c r="L408" t="n">
        <v>0</v>
      </c>
      <c r="M408" t="n">
        <v>0</v>
      </c>
      <c r="N408" t="n">
        <v>0</v>
      </c>
      <c r="O408" t="n">
        <v>2</v>
      </c>
      <c r="P408" t="n">
        <v>0</v>
      </c>
      <c r="Q408" t="n">
        <v>2</v>
      </c>
      <c r="R408" s="2" t="inlineStr">
        <is>
          <t>Garnlav
Lunglav</t>
        </is>
      </c>
      <c r="S408">
        <f>HYPERLINK("https://klasma.github.io/Logging_2283/artfynd/A 45084-2022 artfynd.xlsx", "A 45084-2022")</f>
        <v/>
      </c>
      <c r="T408">
        <f>HYPERLINK("https://klasma.github.io/Logging_2283/kartor/A 45084-2022 karta.png", "A 45084-2022")</f>
        <v/>
      </c>
      <c r="V408">
        <f>HYPERLINK("https://klasma.github.io/Logging_2283/klagomål/A 45084-2022 FSC-klagomål.docx", "A 45084-2022")</f>
        <v/>
      </c>
      <c r="W408">
        <f>HYPERLINK("https://klasma.github.io/Logging_2283/klagomålsmail/A 45084-2022 FSC-klagomål mail.docx", "A 45084-2022")</f>
        <v/>
      </c>
      <c r="X408">
        <f>HYPERLINK("https://klasma.github.io/Logging_2283/tillsyn/A 45084-2022 tillsynsbegäran.docx", "A 45084-2022")</f>
        <v/>
      </c>
      <c r="Y408">
        <f>HYPERLINK("https://klasma.github.io/Logging_2283/tillsynsmail/A 45084-2022 tillsynsbegäran mail.docx", "A 45084-2022")</f>
        <v/>
      </c>
    </row>
    <row r="409" ht="15" customHeight="1">
      <c r="A409" t="inlineStr">
        <is>
          <t>A 47438-2022</t>
        </is>
      </c>
      <c r="B409" s="1" t="n">
        <v>44853</v>
      </c>
      <c r="C409" s="1" t="n">
        <v>45218</v>
      </c>
      <c r="D409" t="inlineStr">
        <is>
          <t>VÄSTERNORRLANDS LÄN</t>
        </is>
      </c>
      <c r="E409" t="inlineStr">
        <is>
          <t>ÅNGE</t>
        </is>
      </c>
      <c r="F409" t="inlineStr">
        <is>
          <t>Sveaskog</t>
        </is>
      </c>
      <c r="G409" t="n">
        <v>2.1</v>
      </c>
      <c r="H409" t="n">
        <v>0</v>
      </c>
      <c r="I409" t="n">
        <v>0</v>
      </c>
      <c r="J409" t="n">
        <v>2</v>
      </c>
      <c r="K409" t="n">
        <v>0</v>
      </c>
      <c r="L409" t="n">
        <v>0</v>
      </c>
      <c r="M409" t="n">
        <v>0</v>
      </c>
      <c r="N409" t="n">
        <v>0</v>
      </c>
      <c r="O409" t="n">
        <v>2</v>
      </c>
      <c r="P409" t="n">
        <v>0</v>
      </c>
      <c r="Q409" t="n">
        <v>2</v>
      </c>
      <c r="R409" s="2" t="inlineStr">
        <is>
          <t>Lunglav
Violettgrå tagellav</t>
        </is>
      </c>
      <c r="S409">
        <f>HYPERLINK("https://klasma.github.io/Logging_2260/artfynd/A 47438-2022 artfynd.xlsx", "A 47438-2022")</f>
        <v/>
      </c>
      <c r="T409">
        <f>HYPERLINK("https://klasma.github.io/Logging_2260/kartor/A 47438-2022 karta.png", "A 47438-2022")</f>
        <v/>
      </c>
      <c r="V409">
        <f>HYPERLINK("https://klasma.github.io/Logging_2260/klagomål/A 47438-2022 FSC-klagomål.docx", "A 47438-2022")</f>
        <v/>
      </c>
      <c r="W409">
        <f>HYPERLINK("https://klasma.github.io/Logging_2260/klagomålsmail/A 47438-2022 FSC-klagomål mail.docx", "A 47438-2022")</f>
        <v/>
      </c>
      <c r="X409">
        <f>HYPERLINK("https://klasma.github.io/Logging_2260/tillsyn/A 47438-2022 tillsynsbegäran.docx", "A 47438-2022")</f>
        <v/>
      </c>
      <c r="Y409">
        <f>HYPERLINK("https://klasma.github.io/Logging_2260/tillsynsmail/A 47438-2022 tillsynsbegäran mail.docx", "A 47438-2022")</f>
        <v/>
      </c>
    </row>
    <row r="410" ht="15" customHeight="1">
      <c r="A410" t="inlineStr">
        <is>
          <t>A 48152-2022</t>
        </is>
      </c>
      <c r="B410" s="1" t="n">
        <v>44853</v>
      </c>
      <c r="C410" s="1" t="n">
        <v>45218</v>
      </c>
      <c r="D410" t="inlineStr">
        <is>
          <t>VÄSTERNORRLANDS LÄN</t>
        </is>
      </c>
      <c r="E410" t="inlineStr">
        <is>
          <t>ÅNGE</t>
        </is>
      </c>
      <c r="G410" t="n">
        <v>2.9</v>
      </c>
      <c r="H410" t="n">
        <v>0</v>
      </c>
      <c r="I410" t="n">
        <v>0</v>
      </c>
      <c r="J410" t="n">
        <v>2</v>
      </c>
      <c r="K410" t="n">
        <v>0</v>
      </c>
      <c r="L410" t="n">
        <v>0</v>
      </c>
      <c r="M410" t="n">
        <v>0</v>
      </c>
      <c r="N410" t="n">
        <v>0</v>
      </c>
      <c r="O410" t="n">
        <v>2</v>
      </c>
      <c r="P410" t="n">
        <v>0</v>
      </c>
      <c r="Q410" t="n">
        <v>2</v>
      </c>
      <c r="R410" s="2" t="inlineStr">
        <is>
          <t>Lunglav
Skrovellav</t>
        </is>
      </c>
      <c r="S410">
        <f>HYPERLINK("https://klasma.github.io/Logging_2260/artfynd/A 48152-2022 artfynd.xlsx", "A 48152-2022")</f>
        <v/>
      </c>
      <c r="T410">
        <f>HYPERLINK("https://klasma.github.io/Logging_2260/kartor/A 48152-2022 karta.png", "A 48152-2022")</f>
        <v/>
      </c>
      <c r="V410">
        <f>HYPERLINK("https://klasma.github.io/Logging_2260/klagomål/A 48152-2022 FSC-klagomål.docx", "A 48152-2022")</f>
        <v/>
      </c>
      <c r="W410">
        <f>HYPERLINK("https://klasma.github.io/Logging_2260/klagomålsmail/A 48152-2022 FSC-klagomål mail.docx", "A 48152-2022")</f>
        <v/>
      </c>
      <c r="X410">
        <f>HYPERLINK("https://klasma.github.io/Logging_2260/tillsyn/A 48152-2022 tillsynsbegäran.docx", "A 48152-2022")</f>
        <v/>
      </c>
      <c r="Y410">
        <f>HYPERLINK("https://klasma.github.io/Logging_2260/tillsynsmail/A 48152-2022 tillsynsbegäran mail.docx", "A 48152-2022")</f>
        <v/>
      </c>
    </row>
    <row r="411" ht="15" customHeight="1">
      <c r="A411" t="inlineStr">
        <is>
          <t>A 48073-2022</t>
        </is>
      </c>
      <c r="B411" s="1" t="n">
        <v>44855</v>
      </c>
      <c r="C411" s="1" t="n">
        <v>45218</v>
      </c>
      <c r="D411" t="inlineStr">
        <is>
          <t>VÄSTERNORRLANDS LÄN</t>
        </is>
      </c>
      <c r="E411" t="inlineStr">
        <is>
          <t>SOLLEFTEÅ</t>
        </is>
      </c>
      <c r="F411" t="inlineStr">
        <is>
          <t>SCA</t>
        </is>
      </c>
      <c r="G411" t="n">
        <v>4.3</v>
      </c>
      <c r="H411" t="n">
        <v>2</v>
      </c>
      <c r="I411" t="n">
        <v>0</v>
      </c>
      <c r="J411" t="n">
        <v>1</v>
      </c>
      <c r="K411" t="n">
        <v>0</v>
      </c>
      <c r="L411" t="n">
        <v>0</v>
      </c>
      <c r="M411" t="n">
        <v>0</v>
      </c>
      <c r="N411" t="n">
        <v>0</v>
      </c>
      <c r="O411" t="n">
        <v>1</v>
      </c>
      <c r="P411" t="n">
        <v>0</v>
      </c>
      <c r="Q411" t="n">
        <v>2</v>
      </c>
      <c r="R411" s="2" t="inlineStr">
        <is>
          <t>Talltita
Blåsippa</t>
        </is>
      </c>
      <c r="S411">
        <f>HYPERLINK("https://klasma.github.io/Logging_2283/artfynd/A 48073-2022 artfynd.xlsx", "A 48073-2022")</f>
        <v/>
      </c>
      <c r="T411">
        <f>HYPERLINK("https://klasma.github.io/Logging_2283/kartor/A 48073-2022 karta.png", "A 48073-2022")</f>
        <v/>
      </c>
      <c r="V411">
        <f>HYPERLINK("https://klasma.github.io/Logging_2283/klagomål/A 48073-2022 FSC-klagomål.docx", "A 48073-2022")</f>
        <v/>
      </c>
      <c r="W411">
        <f>HYPERLINK("https://klasma.github.io/Logging_2283/klagomålsmail/A 48073-2022 FSC-klagomål mail.docx", "A 48073-2022")</f>
        <v/>
      </c>
      <c r="X411">
        <f>HYPERLINK("https://klasma.github.io/Logging_2283/tillsyn/A 48073-2022 tillsynsbegäran.docx", "A 48073-2022")</f>
        <v/>
      </c>
      <c r="Y411">
        <f>HYPERLINK("https://klasma.github.io/Logging_2283/tillsynsmail/A 48073-2022 tillsynsbegäran mail.docx", "A 48073-2022")</f>
        <v/>
      </c>
    </row>
    <row r="412" ht="15" customHeight="1">
      <c r="A412" t="inlineStr">
        <is>
          <t>A 49202-2022</t>
        </is>
      </c>
      <c r="B412" s="1" t="n">
        <v>44860</v>
      </c>
      <c r="C412" s="1" t="n">
        <v>45218</v>
      </c>
      <c r="D412" t="inlineStr">
        <is>
          <t>VÄSTERNORRLANDS LÄN</t>
        </is>
      </c>
      <c r="E412" t="inlineStr">
        <is>
          <t>TIMRÅ</t>
        </is>
      </c>
      <c r="F412" t="inlineStr">
        <is>
          <t>SCA</t>
        </is>
      </c>
      <c r="G412" t="n">
        <v>2.2</v>
      </c>
      <c r="H412" t="n">
        <v>0</v>
      </c>
      <c r="I412" t="n">
        <v>0</v>
      </c>
      <c r="J412" t="n">
        <v>2</v>
      </c>
      <c r="K412" t="n">
        <v>0</v>
      </c>
      <c r="L412" t="n">
        <v>0</v>
      </c>
      <c r="M412" t="n">
        <v>0</v>
      </c>
      <c r="N412" t="n">
        <v>0</v>
      </c>
      <c r="O412" t="n">
        <v>2</v>
      </c>
      <c r="P412" t="n">
        <v>0</v>
      </c>
      <c r="Q412" t="n">
        <v>2</v>
      </c>
      <c r="R412" s="2" t="inlineStr">
        <is>
          <t>Garnlav
Violettgrå tagellav</t>
        </is>
      </c>
      <c r="S412">
        <f>HYPERLINK("https://klasma.github.io/Logging_2262/artfynd/A 49202-2022 artfynd.xlsx", "A 49202-2022")</f>
        <v/>
      </c>
      <c r="T412">
        <f>HYPERLINK("https://klasma.github.io/Logging_2262/kartor/A 49202-2022 karta.png", "A 49202-2022")</f>
        <v/>
      </c>
      <c r="V412">
        <f>HYPERLINK("https://klasma.github.io/Logging_2262/klagomål/A 49202-2022 FSC-klagomål.docx", "A 49202-2022")</f>
        <v/>
      </c>
      <c r="W412">
        <f>HYPERLINK("https://klasma.github.io/Logging_2262/klagomålsmail/A 49202-2022 FSC-klagomål mail.docx", "A 49202-2022")</f>
        <v/>
      </c>
      <c r="X412">
        <f>HYPERLINK("https://klasma.github.io/Logging_2262/tillsyn/A 49202-2022 tillsynsbegäran.docx", "A 49202-2022")</f>
        <v/>
      </c>
      <c r="Y412">
        <f>HYPERLINK("https://klasma.github.io/Logging_2262/tillsynsmail/A 49202-2022 tillsynsbegäran mail.docx", "A 49202-2022")</f>
        <v/>
      </c>
    </row>
    <row r="413" ht="15" customHeight="1">
      <c r="A413" t="inlineStr">
        <is>
          <t>A 49289-2022</t>
        </is>
      </c>
      <c r="B413" s="1" t="n">
        <v>44861</v>
      </c>
      <c r="C413" s="1" t="n">
        <v>45218</v>
      </c>
      <c r="D413" t="inlineStr">
        <is>
          <t>VÄSTERNORRLANDS LÄN</t>
        </is>
      </c>
      <c r="E413" t="inlineStr">
        <is>
          <t>ÖRNSKÖLDSVIK</t>
        </is>
      </c>
      <c r="F413" t="inlineStr">
        <is>
          <t>Holmen skog AB</t>
        </is>
      </c>
      <c r="G413" t="n">
        <v>8.4</v>
      </c>
      <c r="H413" t="n">
        <v>0</v>
      </c>
      <c r="I413" t="n">
        <v>1</v>
      </c>
      <c r="J413" t="n">
        <v>1</v>
      </c>
      <c r="K413" t="n">
        <v>0</v>
      </c>
      <c r="L413" t="n">
        <v>0</v>
      </c>
      <c r="M413" t="n">
        <v>0</v>
      </c>
      <c r="N413" t="n">
        <v>0</v>
      </c>
      <c r="O413" t="n">
        <v>1</v>
      </c>
      <c r="P413" t="n">
        <v>0</v>
      </c>
      <c r="Q413" t="n">
        <v>2</v>
      </c>
      <c r="R413" s="2" t="inlineStr">
        <is>
          <t>Lunglav
Dropptaggsvamp</t>
        </is>
      </c>
      <c r="S413">
        <f>HYPERLINK("https://klasma.github.io/Logging_2284/artfynd/A 49289-2022 artfynd.xlsx", "A 49289-2022")</f>
        <v/>
      </c>
      <c r="T413">
        <f>HYPERLINK("https://klasma.github.io/Logging_2284/kartor/A 49289-2022 karta.png", "A 49289-2022")</f>
        <v/>
      </c>
      <c r="V413">
        <f>HYPERLINK("https://klasma.github.io/Logging_2284/klagomål/A 49289-2022 FSC-klagomål.docx", "A 49289-2022")</f>
        <v/>
      </c>
      <c r="W413">
        <f>HYPERLINK("https://klasma.github.io/Logging_2284/klagomålsmail/A 49289-2022 FSC-klagomål mail.docx", "A 49289-2022")</f>
        <v/>
      </c>
      <c r="X413">
        <f>HYPERLINK("https://klasma.github.io/Logging_2284/tillsyn/A 49289-2022 tillsynsbegäran.docx", "A 49289-2022")</f>
        <v/>
      </c>
      <c r="Y413">
        <f>HYPERLINK("https://klasma.github.io/Logging_2284/tillsynsmail/A 49289-2022 tillsynsbegäran mail.docx", "A 49289-2022")</f>
        <v/>
      </c>
    </row>
    <row r="414" ht="15" customHeight="1">
      <c r="A414" t="inlineStr">
        <is>
          <t>A 51087-2022</t>
        </is>
      </c>
      <c r="B414" s="1" t="n">
        <v>44865</v>
      </c>
      <c r="C414" s="1" t="n">
        <v>45218</v>
      </c>
      <c r="D414" t="inlineStr">
        <is>
          <t>VÄSTERNORRLANDS LÄN</t>
        </is>
      </c>
      <c r="E414" t="inlineStr">
        <is>
          <t>SUNDSVALL</t>
        </is>
      </c>
      <c r="G414" t="n">
        <v>3.5</v>
      </c>
      <c r="H414" t="n">
        <v>2</v>
      </c>
      <c r="I414" t="n">
        <v>0</v>
      </c>
      <c r="J414" t="n">
        <v>0</v>
      </c>
      <c r="K414" t="n">
        <v>1</v>
      </c>
      <c r="L414" t="n">
        <v>0</v>
      </c>
      <c r="M414" t="n">
        <v>0</v>
      </c>
      <c r="N414" t="n">
        <v>0</v>
      </c>
      <c r="O414" t="n">
        <v>1</v>
      </c>
      <c r="P414" t="n">
        <v>1</v>
      </c>
      <c r="Q414" t="n">
        <v>2</v>
      </c>
      <c r="R414" s="2" t="inlineStr">
        <is>
          <t>Knärot
Blåsippa</t>
        </is>
      </c>
      <c r="S414">
        <f>HYPERLINK("https://klasma.github.io/Logging_2281/artfynd/A 51087-2022 artfynd.xlsx", "A 51087-2022")</f>
        <v/>
      </c>
      <c r="T414">
        <f>HYPERLINK("https://klasma.github.io/Logging_2281/kartor/A 51087-2022 karta.png", "A 51087-2022")</f>
        <v/>
      </c>
      <c r="U414">
        <f>HYPERLINK("https://klasma.github.io/Logging_2281/knärot/A 51087-2022 karta knärot.png", "A 51087-2022")</f>
        <v/>
      </c>
      <c r="V414">
        <f>HYPERLINK("https://klasma.github.io/Logging_2281/klagomål/A 51087-2022 FSC-klagomål.docx", "A 51087-2022")</f>
        <v/>
      </c>
      <c r="W414">
        <f>HYPERLINK("https://klasma.github.io/Logging_2281/klagomålsmail/A 51087-2022 FSC-klagomål mail.docx", "A 51087-2022")</f>
        <v/>
      </c>
      <c r="X414">
        <f>HYPERLINK("https://klasma.github.io/Logging_2281/tillsyn/A 51087-2022 tillsynsbegäran.docx", "A 51087-2022")</f>
        <v/>
      </c>
      <c r="Y414">
        <f>HYPERLINK("https://klasma.github.io/Logging_2281/tillsynsmail/A 51087-2022 tillsynsbegäran mail.docx", "A 51087-2022")</f>
        <v/>
      </c>
    </row>
    <row r="415" ht="15" customHeight="1">
      <c r="A415" t="inlineStr">
        <is>
          <t>A 50570-2022</t>
        </is>
      </c>
      <c r="B415" s="1" t="n">
        <v>44866</v>
      </c>
      <c r="C415" s="1" t="n">
        <v>45218</v>
      </c>
      <c r="D415" t="inlineStr">
        <is>
          <t>VÄSTERNORRLANDS LÄN</t>
        </is>
      </c>
      <c r="E415" t="inlineStr">
        <is>
          <t>ÖRNSKÖLDSVIK</t>
        </is>
      </c>
      <c r="F415" t="inlineStr">
        <is>
          <t>Holmen skog AB</t>
        </is>
      </c>
      <c r="G415" t="n">
        <v>12.5</v>
      </c>
      <c r="H415" t="n">
        <v>2</v>
      </c>
      <c r="I415" t="n">
        <v>0</v>
      </c>
      <c r="J415" t="n">
        <v>0</v>
      </c>
      <c r="K415" t="n">
        <v>0</v>
      </c>
      <c r="L415" t="n">
        <v>0</v>
      </c>
      <c r="M415" t="n">
        <v>0</v>
      </c>
      <c r="N415" t="n">
        <v>0</v>
      </c>
      <c r="O415" t="n">
        <v>0</v>
      </c>
      <c r="P415" t="n">
        <v>0</v>
      </c>
      <c r="Q415" t="n">
        <v>2</v>
      </c>
      <c r="R415" s="2" t="inlineStr">
        <is>
          <t>Bred paljettdykare
Bredkantad dykare</t>
        </is>
      </c>
      <c r="S415">
        <f>HYPERLINK("https://klasma.github.io/Logging_2284/artfynd/A 50570-2022 artfynd.xlsx", "A 50570-2022")</f>
        <v/>
      </c>
      <c r="T415">
        <f>HYPERLINK("https://klasma.github.io/Logging_2284/kartor/A 50570-2022 karta.png", "A 50570-2022")</f>
        <v/>
      </c>
      <c r="V415">
        <f>HYPERLINK("https://klasma.github.io/Logging_2284/klagomål/A 50570-2022 FSC-klagomål.docx", "A 50570-2022")</f>
        <v/>
      </c>
      <c r="W415">
        <f>HYPERLINK("https://klasma.github.io/Logging_2284/klagomålsmail/A 50570-2022 FSC-klagomål mail.docx", "A 50570-2022")</f>
        <v/>
      </c>
      <c r="X415">
        <f>HYPERLINK("https://klasma.github.io/Logging_2284/tillsyn/A 50570-2022 tillsynsbegäran.docx", "A 50570-2022")</f>
        <v/>
      </c>
      <c r="Y415">
        <f>HYPERLINK("https://klasma.github.io/Logging_2284/tillsynsmail/A 50570-2022 tillsynsbegäran mail.docx", "A 50570-2022")</f>
        <v/>
      </c>
    </row>
    <row r="416" ht="15" customHeight="1">
      <c r="A416" t="inlineStr">
        <is>
          <t>A 52350-2022</t>
        </is>
      </c>
      <c r="B416" s="1" t="n">
        <v>44873</v>
      </c>
      <c r="C416" s="1" t="n">
        <v>45218</v>
      </c>
      <c r="D416" t="inlineStr">
        <is>
          <t>VÄSTERNORRLANDS LÄN</t>
        </is>
      </c>
      <c r="E416" t="inlineStr">
        <is>
          <t>SUNDSVALL</t>
        </is>
      </c>
      <c r="F416" t="inlineStr">
        <is>
          <t>SCA</t>
        </is>
      </c>
      <c r="G416" t="n">
        <v>4.4</v>
      </c>
      <c r="H416" t="n">
        <v>0</v>
      </c>
      <c r="I416" t="n">
        <v>0</v>
      </c>
      <c r="J416" t="n">
        <v>2</v>
      </c>
      <c r="K416" t="n">
        <v>0</v>
      </c>
      <c r="L416" t="n">
        <v>0</v>
      </c>
      <c r="M416" t="n">
        <v>0</v>
      </c>
      <c r="N416" t="n">
        <v>0</v>
      </c>
      <c r="O416" t="n">
        <v>2</v>
      </c>
      <c r="P416" t="n">
        <v>0</v>
      </c>
      <c r="Q416" t="n">
        <v>2</v>
      </c>
      <c r="R416" s="2" t="inlineStr">
        <is>
          <t>Lunglav
Ullticka</t>
        </is>
      </c>
      <c r="S416">
        <f>HYPERLINK("https://klasma.github.io/Logging_2281/artfynd/A 52350-2022 artfynd.xlsx", "A 52350-2022")</f>
        <v/>
      </c>
      <c r="T416">
        <f>HYPERLINK("https://klasma.github.io/Logging_2281/kartor/A 52350-2022 karta.png", "A 52350-2022")</f>
        <v/>
      </c>
      <c r="V416">
        <f>HYPERLINK("https://klasma.github.io/Logging_2281/klagomål/A 52350-2022 FSC-klagomål.docx", "A 52350-2022")</f>
        <v/>
      </c>
      <c r="W416">
        <f>HYPERLINK("https://klasma.github.io/Logging_2281/klagomålsmail/A 52350-2022 FSC-klagomål mail.docx", "A 52350-2022")</f>
        <v/>
      </c>
      <c r="X416">
        <f>HYPERLINK("https://klasma.github.io/Logging_2281/tillsyn/A 52350-2022 tillsynsbegäran.docx", "A 52350-2022")</f>
        <v/>
      </c>
      <c r="Y416">
        <f>HYPERLINK("https://klasma.github.io/Logging_2281/tillsynsmail/A 52350-2022 tillsynsbegäran mail.docx", "A 52350-2022")</f>
        <v/>
      </c>
    </row>
    <row r="417" ht="15" customHeight="1">
      <c r="A417" t="inlineStr">
        <is>
          <t>A 53130-2022</t>
        </is>
      </c>
      <c r="B417" s="1" t="n">
        <v>44873</v>
      </c>
      <c r="C417" s="1" t="n">
        <v>45218</v>
      </c>
      <c r="D417" t="inlineStr">
        <is>
          <t>VÄSTERNORRLANDS LÄN</t>
        </is>
      </c>
      <c r="E417" t="inlineStr">
        <is>
          <t>SOLLEFTEÅ</t>
        </is>
      </c>
      <c r="G417" t="n">
        <v>19.8</v>
      </c>
      <c r="H417" t="n">
        <v>2</v>
      </c>
      <c r="I417" t="n">
        <v>0</v>
      </c>
      <c r="J417" t="n">
        <v>1</v>
      </c>
      <c r="K417" t="n">
        <v>0</v>
      </c>
      <c r="L417" t="n">
        <v>0</v>
      </c>
      <c r="M417" t="n">
        <v>0</v>
      </c>
      <c r="N417" t="n">
        <v>0</v>
      </c>
      <c r="O417" t="n">
        <v>1</v>
      </c>
      <c r="P417" t="n">
        <v>0</v>
      </c>
      <c r="Q417" t="n">
        <v>2</v>
      </c>
      <c r="R417" s="2" t="inlineStr">
        <is>
          <t>Myrbräcka
Fläcknycklar</t>
        </is>
      </c>
      <c r="S417">
        <f>HYPERLINK("https://klasma.github.io/Logging_2283/artfynd/A 53130-2022 artfynd.xlsx", "A 53130-2022")</f>
        <v/>
      </c>
      <c r="T417">
        <f>HYPERLINK("https://klasma.github.io/Logging_2283/kartor/A 53130-2022 karta.png", "A 53130-2022")</f>
        <v/>
      </c>
      <c r="V417">
        <f>HYPERLINK("https://klasma.github.io/Logging_2283/klagomål/A 53130-2022 FSC-klagomål.docx", "A 53130-2022")</f>
        <v/>
      </c>
      <c r="W417">
        <f>HYPERLINK("https://klasma.github.io/Logging_2283/klagomålsmail/A 53130-2022 FSC-klagomål mail.docx", "A 53130-2022")</f>
        <v/>
      </c>
      <c r="X417">
        <f>HYPERLINK("https://klasma.github.io/Logging_2283/tillsyn/A 53130-2022 tillsynsbegäran.docx", "A 53130-2022")</f>
        <v/>
      </c>
      <c r="Y417">
        <f>HYPERLINK("https://klasma.github.io/Logging_2283/tillsynsmail/A 53130-2022 tillsynsbegäran mail.docx", "A 53130-2022")</f>
        <v/>
      </c>
    </row>
    <row r="418" ht="15" customHeight="1">
      <c r="A418" t="inlineStr">
        <is>
          <t>A 52727-2022</t>
        </is>
      </c>
      <c r="B418" s="1" t="n">
        <v>44874</v>
      </c>
      <c r="C418" s="1" t="n">
        <v>45218</v>
      </c>
      <c r="D418" t="inlineStr">
        <is>
          <t>VÄSTERNORRLANDS LÄN</t>
        </is>
      </c>
      <c r="E418" t="inlineStr">
        <is>
          <t>HÄRNÖSAND</t>
        </is>
      </c>
      <c r="F418" t="inlineStr">
        <is>
          <t>SCA</t>
        </is>
      </c>
      <c r="G418" t="n">
        <v>3.4</v>
      </c>
      <c r="H418" t="n">
        <v>0</v>
      </c>
      <c r="I418" t="n">
        <v>2</v>
      </c>
      <c r="J418" t="n">
        <v>0</v>
      </c>
      <c r="K418" t="n">
        <v>0</v>
      </c>
      <c r="L418" t="n">
        <v>0</v>
      </c>
      <c r="M418" t="n">
        <v>0</v>
      </c>
      <c r="N418" t="n">
        <v>0</v>
      </c>
      <c r="O418" t="n">
        <v>0</v>
      </c>
      <c r="P418" t="n">
        <v>0</v>
      </c>
      <c r="Q418" t="n">
        <v>2</v>
      </c>
      <c r="R418" s="2" t="inlineStr">
        <is>
          <t>Korallblylav
Skinnlav</t>
        </is>
      </c>
      <c r="S418">
        <f>HYPERLINK("https://klasma.github.io/Logging_2280/artfynd/A 52727-2022 artfynd.xlsx", "A 52727-2022")</f>
        <v/>
      </c>
      <c r="T418">
        <f>HYPERLINK("https://klasma.github.io/Logging_2280/kartor/A 52727-2022 karta.png", "A 52727-2022")</f>
        <v/>
      </c>
      <c r="V418">
        <f>HYPERLINK("https://klasma.github.io/Logging_2280/klagomål/A 52727-2022 FSC-klagomål.docx", "A 52727-2022")</f>
        <v/>
      </c>
      <c r="W418">
        <f>HYPERLINK("https://klasma.github.io/Logging_2280/klagomålsmail/A 52727-2022 FSC-klagomål mail.docx", "A 52727-2022")</f>
        <v/>
      </c>
      <c r="X418">
        <f>HYPERLINK("https://klasma.github.io/Logging_2280/tillsyn/A 52727-2022 tillsynsbegäran.docx", "A 52727-2022")</f>
        <v/>
      </c>
      <c r="Y418">
        <f>HYPERLINK("https://klasma.github.io/Logging_2280/tillsynsmail/A 52727-2022 tillsynsbegäran mail.docx", "A 52727-2022")</f>
        <v/>
      </c>
    </row>
    <row r="419" ht="15" customHeight="1">
      <c r="A419" t="inlineStr">
        <is>
          <t>A 52741-2022</t>
        </is>
      </c>
      <c r="B419" s="1" t="n">
        <v>44874</v>
      </c>
      <c r="C419" s="1" t="n">
        <v>45218</v>
      </c>
      <c r="D419" t="inlineStr">
        <is>
          <t>VÄSTERNORRLANDS LÄN</t>
        </is>
      </c>
      <c r="E419" t="inlineStr">
        <is>
          <t>SUNDSVALL</t>
        </is>
      </c>
      <c r="F419" t="inlineStr">
        <is>
          <t>SCA</t>
        </is>
      </c>
      <c r="G419" t="n">
        <v>5.2</v>
      </c>
      <c r="H419" t="n">
        <v>1</v>
      </c>
      <c r="I419" t="n">
        <v>1</v>
      </c>
      <c r="J419" t="n">
        <v>1</v>
      </c>
      <c r="K419" t="n">
        <v>0</v>
      </c>
      <c r="L419" t="n">
        <v>0</v>
      </c>
      <c r="M419" t="n">
        <v>0</v>
      </c>
      <c r="N419" t="n">
        <v>0</v>
      </c>
      <c r="O419" t="n">
        <v>1</v>
      </c>
      <c r="P419" t="n">
        <v>0</v>
      </c>
      <c r="Q419" t="n">
        <v>2</v>
      </c>
      <c r="R419" s="2" t="inlineStr">
        <is>
          <t>Videsparv
Skuggblåslav</t>
        </is>
      </c>
      <c r="S419">
        <f>HYPERLINK("https://klasma.github.io/Logging_2281/artfynd/A 52741-2022 artfynd.xlsx", "A 52741-2022")</f>
        <v/>
      </c>
      <c r="T419">
        <f>HYPERLINK("https://klasma.github.io/Logging_2281/kartor/A 52741-2022 karta.png", "A 52741-2022")</f>
        <v/>
      </c>
      <c r="V419">
        <f>HYPERLINK("https://klasma.github.io/Logging_2281/klagomål/A 52741-2022 FSC-klagomål.docx", "A 52741-2022")</f>
        <v/>
      </c>
      <c r="W419">
        <f>HYPERLINK("https://klasma.github.io/Logging_2281/klagomålsmail/A 52741-2022 FSC-klagomål mail.docx", "A 52741-2022")</f>
        <v/>
      </c>
      <c r="X419">
        <f>HYPERLINK("https://klasma.github.io/Logging_2281/tillsyn/A 52741-2022 tillsynsbegäran.docx", "A 52741-2022")</f>
        <v/>
      </c>
      <c r="Y419">
        <f>HYPERLINK("https://klasma.github.io/Logging_2281/tillsynsmail/A 52741-2022 tillsynsbegäran mail.docx", "A 52741-2022")</f>
        <v/>
      </c>
    </row>
    <row r="420" ht="15" customHeight="1">
      <c r="A420" t="inlineStr">
        <is>
          <t>A 53668-2022</t>
        </is>
      </c>
      <c r="B420" s="1" t="n">
        <v>44879</v>
      </c>
      <c r="C420" s="1" t="n">
        <v>45218</v>
      </c>
      <c r="D420" t="inlineStr">
        <is>
          <t>VÄSTERNORRLANDS LÄN</t>
        </is>
      </c>
      <c r="E420" t="inlineStr">
        <is>
          <t>SOLLEFTEÅ</t>
        </is>
      </c>
      <c r="G420" t="n">
        <v>13.3</v>
      </c>
      <c r="H420" t="n">
        <v>0</v>
      </c>
      <c r="I420" t="n">
        <v>0</v>
      </c>
      <c r="J420" t="n">
        <v>2</v>
      </c>
      <c r="K420" t="n">
        <v>0</v>
      </c>
      <c r="L420" t="n">
        <v>0</v>
      </c>
      <c r="M420" t="n">
        <v>0</v>
      </c>
      <c r="N420" t="n">
        <v>0</v>
      </c>
      <c r="O420" t="n">
        <v>2</v>
      </c>
      <c r="P420" t="n">
        <v>0</v>
      </c>
      <c r="Q420" t="n">
        <v>2</v>
      </c>
      <c r="R420" s="2" t="inlineStr">
        <is>
          <t>Garnlav
Violettgrå tagellav</t>
        </is>
      </c>
      <c r="S420">
        <f>HYPERLINK("https://klasma.github.io/Logging_2283/artfynd/A 53668-2022 artfynd.xlsx", "A 53668-2022")</f>
        <v/>
      </c>
      <c r="T420">
        <f>HYPERLINK("https://klasma.github.io/Logging_2283/kartor/A 53668-2022 karta.png", "A 53668-2022")</f>
        <v/>
      </c>
      <c r="V420">
        <f>HYPERLINK("https://klasma.github.io/Logging_2283/klagomål/A 53668-2022 FSC-klagomål.docx", "A 53668-2022")</f>
        <v/>
      </c>
      <c r="W420">
        <f>HYPERLINK("https://klasma.github.io/Logging_2283/klagomålsmail/A 53668-2022 FSC-klagomål mail.docx", "A 53668-2022")</f>
        <v/>
      </c>
      <c r="X420">
        <f>HYPERLINK("https://klasma.github.io/Logging_2283/tillsyn/A 53668-2022 tillsynsbegäran.docx", "A 53668-2022")</f>
        <v/>
      </c>
      <c r="Y420">
        <f>HYPERLINK("https://klasma.github.io/Logging_2283/tillsynsmail/A 53668-2022 tillsynsbegäran mail.docx", "A 53668-2022")</f>
        <v/>
      </c>
    </row>
    <row r="421" ht="15" customHeight="1">
      <c r="A421" t="inlineStr">
        <is>
          <t>A 53942-2022</t>
        </is>
      </c>
      <c r="B421" s="1" t="n">
        <v>44880</v>
      </c>
      <c r="C421" s="1" t="n">
        <v>45218</v>
      </c>
      <c r="D421" t="inlineStr">
        <is>
          <t>VÄSTERNORRLANDS LÄN</t>
        </is>
      </c>
      <c r="E421" t="inlineStr">
        <is>
          <t>SUNDSVALL</t>
        </is>
      </c>
      <c r="F421" t="inlineStr">
        <is>
          <t>SCA</t>
        </is>
      </c>
      <c r="G421" t="n">
        <v>3.5</v>
      </c>
      <c r="H421" t="n">
        <v>0</v>
      </c>
      <c r="I421" t="n">
        <v>1</v>
      </c>
      <c r="J421" t="n">
        <v>1</v>
      </c>
      <c r="K421" t="n">
        <v>0</v>
      </c>
      <c r="L421" t="n">
        <v>0</v>
      </c>
      <c r="M421" t="n">
        <v>0</v>
      </c>
      <c r="N421" t="n">
        <v>0</v>
      </c>
      <c r="O421" t="n">
        <v>1</v>
      </c>
      <c r="P421" t="n">
        <v>0</v>
      </c>
      <c r="Q421" t="n">
        <v>2</v>
      </c>
      <c r="R421" s="2" t="inlineStr">
        <is>
          <t>Lunglav
Vedticka</t>
        </is>
      </c>
      <c r="S421">
        <f>HYPERLINK("https://klasma.github.io/Logging_2281/artfynd/A 53942-2022 artfynd.xlsx", "A 53942-2022")</f>
        <v/>
      </c>
      <c r="T421">
        <f>HYPERLINK("https://klasma.github.io/Logging_2281/kartor/A 53942-2022 karta.png", "A 53942-2022")</f>
        <v/>
      </c>
      <c r="V421">
        <f>HYPERLINK("https://klasma.github.io/Logging_2281/klagomål/A 53942-2022 FSC-klagomål.docx", "A 53942-2022")</f>
        <v/>
      </c>
      <c r="W421">
        <f>HYPERLINK("https://klasma.github.io/Logging_2281/klagomålsmail/A 53942-2022 FSC-klagomål mail.docx", "A 53942-2022")</f>
        <v/>
      </c>
      <c r="X421">
        <f>HYPERLINK("https://klasma.github.io/Logging_2281/tillsyn/A 53942-2022 tillsynsbegäran.docx", "A 53942-2022")</f>
        <v/>
      </c>
      <c r="Y421">
        <f>HYPERLINK("https://klasma.github.io/Logging_2281/tillsynsmail/A 53942-2022 tillsynsbegäran mail.docx", "A 53942-2022")</f>
        <v/>
      </c>
    </row>
    <row r="422" ht="15" customHeight="1">
      <c r="A422" t="inlineStr">
        <is>
          <t>A 55727-2022</t>
        </is>
      </c>
      <c r="B422" s="1" t="n">
        <v>44883</v>
      </c>
      <c r="C422" s="1" t="n">
        <v>45218</v>
      </c>
      <c r="D422" t="inlineStr">
        <is>
          <t>VÄSTERNORRLANDS LÄN</t>
        </is>
      </c>
      <c r="E422" t="inlineStr">
        <is>
          <t>SOLLEFTEÅ</t>
        </is>
      </c>
      <c r="G422" t="n">
        <v>16.7</v>
      </c>
      <c r="H422" t="n">
        <v>1</v>
      </c>
      <c r="I422" t="n">
        <v>0</v>
      </c>
      <c r="J422" t="n">
        <v>2</v>
      </c>
      <c r="K422" t="n">
        <v>0</v>
      </c>
      <c r="L422" t="n">
        <v>0</v>
      </c>
      <c r="M422" t="n">
        <v>0</v>
      </c>
      <c r="N422" t="n">
        <v>0</v>
      </c>
      <c r="O422" t="n">
        <v>2</v>
      </c>
      <c r="P422" t="n">
        <v>0</v>
      </c>
      <c r="Q422" t="n">
        <v>2</v>
      </c>
      <c r="R422" s="2" t="inlineStr">
        <is>
          <t>Rosenticka
Tretåig hackspett</t>
        </is>
      </c>
      <c r="S422">
        <f>HYPERLINK("https://klasma.github.io/Logging_2283/artfynd/A 55727-2022 artfynd.xlsx", "A 55727-2022")</f>
        <v/>
      </c>
      <c r="T422">
        <f>HYPERLINK("https://klasma.github.io/Logging_2283/kartor/A 55727-2022 karta.png", "A 55727-2022")</f>
        <v/>
      </c>
      <c r="V422">
        <f>HYPERLINK("https://klasma.github.io/Logging_2283/klagomål/A 55727-2022 FSC-klagomål.docx", "A 55727-2022")</f>
        <v/>
      </c>
      <c r="W422">
        <f>HYPERLINK("https://klasma.github.io/Logging_2283/klagomålsmail/A 55727-2022 FSC-klagomål mail.docx", "A 55727-2022")</f>
        <v/>
      </c>
      <c r="X422">
        <f>HYPERLINK("https://klasma.github.io/Logging_2283/tillsyn/A 55727-2022 tillsynsbegäran.docx", "A 55727-2022")</f>
        <v/>
      </c>
      <c r="Y422">
        <f>HYPERLINK("https://klasma.github.io/Logging_2283/tillsynsmail/A 55727-2022 tillsynsbegäran mail.docx", "A 55727-2022")</f>
        <v/>
      </c>
    </row>
    <row r="423" ht="15" customHeight="1">
      <c r="A423" t="inlineStr">
        <is>
          <t>A 54822-2022</t>
        </is>
      </c>
      <c r="B423" s="1" t="n">
        <v>44883</v>
      </c>
      <c r="C423" s="1" t="n">
        <v>45218</v>
      </c>
      <c r="D423" t="inlineStr">
        <is>
          <t>VÄSTERNORRLANDS LÄN</t>
        </is>
      </c>
      <c r="E423" t="inlineStr">
        <is>
          <t>ÅNGE</t>
        </is>
      </c>
      <c r="G423" t="n">
        <v>3.8</v>
      </c>
      <c r="H423" t="n">
        <v>2</v>
      </c>
      <c r="I423" t="n">
        <v>0</v>
      </c>
      <c r="J423" t="n">
        <v>1</v>
      </c>
      <c r="K423" t="n">
        <v>0</v>
      </c>
      <c r="L423" t="n">
        <v>0</v>
      </c>
      <c r="M423" t="n">
        <v>0</v>
      </c>
      <c r="N423" t="n">
        <v>0</v>
      </c>
      <c r="O423" t="n">
        <v>1</v>
      </c>
      <c r="P423" t="n">
        <v>0</v>
      </c>
      <c r="Q423" t="n">
        <v>2</v>
      </c>
      <c r="R423" s="2" t="inlineStr">
        <is>
          <t>Tretåig hackspett
Mindre vattensalamander</t>
        </is>
      </c>
      <c r="S423">
        <f>HYPERLINK("https://klasma.github.io/Logging_2260/artfynd/A 54822-2022 artfynd.xlsx", "A 54822-2022")</f>
        <v/>
      </c>
      <c r="T423">
        <f>HYPERLINK("https://klasma.github.io/Logging_2260/kartor/A 54822-2022 karta.png", "A 54822-2022")</f>
        <v/>
      </c>
      <c r="V423">
        <f>HYPERLINK("https://klasma.github.io/Logging_2260/klagomål/A 54822-2022 FSC-klagomål.docx", "A 54822-2022")</f>
        <v/>
      </c>
      <c r="W423">
        <f>HYPERLINK("https://klasma.github.io/Logging_2260/klagomålsmail/A 54822-2022 FSC-klagomål mail.docx", "A 54822-2022")</f>
        <v/>
      </c>
      <c r="X423">
        <f>HYPERLINK("https://klasma.github.io/Logging_2260/tillsyn/A 54822-2022 tillsynsbegäran.docx", "A 54822-2022")</f>
        <v/>
      </c>
      <c r="Y423">
        <f>HYPERLINK("https://klasma.github.io/Logging_2260/tillsynsmail/A 54822-2022 tillsynsbegäran mail.docx", "A 54822-2022")</f>
        <v/>
      </c>
    </row>
    <row r="424" ht="15" customHeight="1">
      <c r="A424" t="inlineStr">
        <is>
          <t>A 56530-2022</t>
        </is>
      </c>
      <c r="B424" s="1" t="n">
        <v>44893</v>
      </c>
      <c r="C424" s="1" t="n">
        <v>45218</v>
      </c>
      <c r="D424" t="inlineStr">
        <is>
          <t>VÄSTERNORRLANDS LÄN</t>
        </is>
      </c>
      <c r="E424" t="inlineStr">
        <is>
          <t>ÖRNSKÖLDSVIK</t>
        </is>
      </c>
      <c r="F424" t="inlineStr">
        <is>
          <t>Holmen skog AB</t>
        </is>
      </c>
      <c r="G424" t="n">
        <v>2.2</v>
      </c>
      <c r="H424" t="n">
        <v>0</v>
      </c>
      <c r="I424" t="n">
        <v>1</v>
      </c>
      <c r="J424" t="n">
        <v>1</v>
      </c>
      <c r="K424" t="n">
        <v>0</v>
      </c>
      <c r="L424" t="n">
        <v>0</v>
      </c>
      <c r="M424" t="n">
        <v>0</v>
      </c>
      <c r="N424" t="n">
        <v>0</v>
      </c>
      <c r="O424" t="n">
        <v>1</v>
      </c>
      <c r="P424" t="n">
        <v>0</v>
      </c>
      <c r="Q424" t="n">
        <v>2</v>
      </c>
      <c r="R424" s="2" t="inlineStr">
        <is>
          <t>Violettgrå tagellav
Skinnlav</t>
        </is>
      </c>
      <c r="S424">
        <f>HYPERLINK("https://klasma.github.io/Logging_2284/artfynd/A 56530-2022 artfynd.xlsx", "A 56530-2022")</f>
        <v/>
      </c>
      <c r="T424">
        <f>HYPERLINK("https://klasma.github.io/Logging_2284/kartor/A 56530-2022 karta.png", "A 56530-2022")</f>
        <v/>
      </c>
      <c r="V424">
        <f>HYPERLINK("https://klasma.github.io/Logging_2284/klagomål/A 56530-2022 FSC-klagomål.docx", "A 56530-2022")</f>
        <v/>
      </c>
      <c r="W424">
        <f>HYPERLINK("https://klasma.github.io/Logging_2284/klagomålsmail/A 56530-2022 FSC-klagomål mail.docx", "A 56530-2022")</f>
        <v/>
      </c>
      <c r="X424">
        <f>HYPERLINK("https://klasma.github.io/Logging_2284/tillsyn/A 56530-2022 tillsynsbegäran.docx", "A 56530-2022")</f>
        <v/>
      </c>
      <c r="Y424">
        <f>HYPERLINK("https://klasma.github.io/Logging_2284/tillsynsmail/A 56530-2022 tillsynsbegäran mail.docx", "A 56530-2022")</f>
        <v/>
      </c>
    </row>
    <row r="425" ht="15" customHeight="1">
      <c r="A425" t="inlineStr">
        <is>
          <t>A 58191-2022</t>
        </is>
      </c>
      <c r="B425" s="1" t="n">
        <v>44900</v>
      </c>
      <c r="C425" s="1" t="n">
        <v>45218</v>
      </c>
      <c r="D425" t="inlineStr">
        <is>
          <t>VÄSTERNORRLANDS LÄN</t>
        </is>
      </c>
      <c r="E425" t="inlineStr">
        <is>
          <t>SUNDSVALL</t>
        </is>
      </c>
      <c r="F425" t="inlineStr">
        <is>
          <t>SCA</t>
        </is>
      </c>
      <c r="G425" t="n">
        <v>2</v>
      </c>
      <c r="H425" t="n">
        <v>1</v>
      </c>
      <c r="I425" t="n">
        <v>2</v>
      </c>
      <c r="J425" t="n">
        <v>0</v>
      </c>
      <c r="K425" t="n">
        <v>0</v>
      </c>
      <c r="L425" t="n">
        <v>0</v>
      </c>
      <c r="M425" t="n">
        <v>0</v>
      </c>
      <c r="N425" t="n">
        <v>0</v>
      </c>
      <c r="O425" t="n">
        <v>0</v>
      </c>
      <c r="P425" t="n">
        <v>0</v>
      </c>
      <c r="Q425" t="n">
        <v>2</v>
      </c>
      <c r="R425" s="2" t="inlineStr">
        <is>
          <t>Korallrot
Vedticka</t>
        </is>
      </c>
      <c r="S425">
        <f>HYPERLINK("https://klasma.github.io/Logging_2281/artfynd/A 58191-2022 artfynd.xlsx", "A 58191-2022")</f>
        <v/>
      </c>
      <c r="T425">
        <f>HYPERLINK("https://klasma.github.io/Logging_2281/kartor/A 58191-2022 karta.png", "A 58191-2022")</f>
        <v/>
      </c>
      <c r="U425">
        <f>HYPERLINK("https://klasma.github.io/Logging_2281/knärot/A 58191-2022 karta knärot.png", "A 58191-2022")</f>
        <v/>
      </c>
      <c r="V425">
        <f>HYPERLINK("https://klasma.github.io/Logging_2281/klagomål/A 58191-2022 FSC-klagomål.docx", "A 58191-2022")</f>
        <v/>
      </c>
      <c r="W425">
        <f>HYPERLINK("https://klasma.github.io/Logging_2281/klagomålsmail/A 58191-2022 FSC-klagomål mail.docx", "A 58191-2022")</f>
        <v/>
      </c>
      <c r="X425">
        <f>HYPERLINK("https://klasma.github.io/Logging_2281/tillsyn/A 58191-2022 tillsynsbegäran.docx", "A 58191-2022")</f>
        <v/>
      </c>
      <c r="Y425">
        <f>HYPERLINK("https://klasma.github.io/Logging_2281/tillsynsmail/A 58191-2022 tillsynsbegäran mail.docx", "A 58191-2022")</f>
        <v/>
      </c>
    </row>
    <row r="426" ht="15" customHeight="1">
      <c r="A426" t="inlineStr">
        <is>
          <t>A 59046-2022</t>
        </is>
      </c>
      <c r="B426" s="1" t="n">
        <v>44903</v>
      </c>
      <c r="C426" s="1" t="n">
        <v>45218</v>
      </c>
      <c r="D426" t="inlineStr">
        <is>
          <t>VÄSTERNORRLANDS LÄN</t>
        </is>
      </c>
      <c r="E426" t="inlineStr">
        <is>
          <t>SOLLEFTEÅ</t>
        </is>
      </c>
      <c r="F426" t="inlineStr">
        <is>
          <t>SCA</t>
        </is>
      </c>
      <c r="G426" t="n">
        <v>10.3</v>
      </c>
      <c r="H426" t="n">
        <v>1</v>
      </c>
      <c r="I426" t="n">
        <v>0</v>
      </c>
      <c r="J426" t="n">
        <v>2</v>
      </c>
      <c r="K426" t="n">
        <v>0</v>
      </c>
      <c r="L426" t="n">
        <v>0</v>
      </c>
      <c r="M426" t="n">
        <v>0</v>
      </c>
      <c r="N426" t="n">
        <v>0</v>
      </c>
      <c r="O426" t="n">
        <v>2</v>
      </c>
      <c r="P426" t="n">
        <v>0</v>
      </c>
      <c r="Q426" t="n">
        <v>2</v>
      </c>
      <c r="R426" s="2" t="inlineStr">
        <is>
          <t>Lunglav
Tretåig hackspett</t>
        </is>
      </c>
      <c r="S426">
        <f>HYPERLINK("https://klasma.github.io/Logging_2283/artfynd/A 59046-2022 artfynd.xlsx", "A 59046-2022")</f>
        <v/>
      </c>
      <c r="T426">
        <f>HYPERLINK("https://klasma.github.io/Logging_2283/kartor/A 59046-2022 karta.png", "A 59046-2022")</f>
        <v/>
      </c>
      <c r="V426">
        <f>HYPERLINK("https://klasma.github.io/Logging_2283/klagomål/A 59046-2022 FSC-klagomål.docx", "A 59046-2022")</f>
        <v/>
      </c>
      <c r="W426">
        <f>HYPERLINK("https://klasma.github.io/Logging_2283/klagomålsmail/A 59046-2022 FSC-klagomål mail.docx", "A 59046-2022")</f>
        <v/>
      </c>
      <c r="X426">
        <f>HYPERLINK("https://klasma.github.io/Logging_2283/tillsyn/A 59046-2022 tillsynsbegäran.docx", "A 59046-2022")</f>
        <v/>
      </c>
      <c r="Y426">
        <f>HYPERLINK("https://klasma.github.io/Logging_2283/tillsynsmail/A 59046-2022 tillsynsbegäran mail.docx", "A 59046-2022")</f>
        <v/>
      </c>
    </row>
    <row r="427" ht="15" customHeight="1">
      <c r="A427" t="inlineStr">
        <is>
          <t>A 61377-2022</t>
        </is>
      </c>
      <c r="B427" s="1" t="n">
        <v>44915</v>
      </c>
      <c r="C427" s="1" t="n">
        <v>45218</v>
      </c>
      <c r="D427" t="inlineStr">
        <is>
          <t>VÄSTERNORRLANDS LÄN</t>
        </is>
      </c>
      <c r="E427" t="inlineStr">
        <is>
          <t>SOLLEFTEÅ</t>
        </is>
      </c>
      <c r="G427" t="n">
        <v>10.5</v>
      </c>
      <c r="H427" t="n">
        <v>0</v>
      </c>
      <c r="I427" t="n">
        <v>1</v>
      </c>
      <c r="J427" t="n">
        <v>1</v>
      </c>
      <c r="K427" t="n">
        <v>0</v>
      </c>
      <c r="L427" t="n">
        <v>0</v>
      </c>
      <c r="M427" t="n">
        <v>0</v>
      </c>
      <c r="N427" t="n">
        <v>0</v>
      </c>
      <c r="O427" t="n">
        <v>1</v>
      </c>
      <c r="P427" t="n">
        <v>0</v>
      </c>
      <c r="Q427" t="n">
        <v>2</v>
      </c>
      <c r="R427" s="2" t="inlineStr">
        <is>
          <t>Garnlav
Spädstarr</t>
        </is>
      </c>
      <c r="S427">
        <f>HYPERLINK("https://klasma.github.io/Logging_2283/artfynd/A 61377-2022 artfynd.xlsx", "A 61377-2022")</f>
        <v/>
      </c>
      <c r="T427">
        <f>HYPERLINK("https://klasma.github.io/Logging_2283/kartor/A 61377-2022 karta.png", "A 61377-2022")</f>
        <v/>
      </c>
      <c r="V427">
        <f>HYPERLINK("https://klasma.github.io/Logging_2283/klagomål/A 61377-2022 FSC-klagomål.docx", "A 61377-2022")</f>
        <v/>
      </c>
      <c r="W427">
        <f>HYPERLINK("https://klasma.github.io/Logging_2283/klagomålsmail/A 61377-2022 FSC-klagomål mail.docx", "A 61377-2022")</f>
        <v/>
      </c>
      <c r="X427">
        <f>HYPERLINK("https://klasma.github.io/Logging_2283/tillsyn/A 61377-2022 tillsynsbegäran.docx", "A 61377-2022")</f>
        <v/>
      </c>
      <c r="Y427">
        <f>HYPERLINK("https://klasma.github.io/Logging_2283/tillsynsmail/A 61377-2022 tillsynsbegäran mail.docx", "A 61377-2022")</f>
        <v/>
      </c>
    </row>
    <row r="428" ht="15" customHeight="1">
      <c r="A428" t="inlineStr">
        <is>
          <t>A 3017-2023</t>
        </is>
      </c>
      <c r="B428" s="1" t="n">
        <v>44945</v>
      </c>
      <c r="C428" s="1" t="n">
        <v>45218</v>
      </c>
      <c r="D428" t="inlineStr">
        <is>
          <t>VÄSTERNORRLANDS LÄN</t>
        </is>
      </c>
      <c r="E428" t="inlineStr">
        <is>
          <t>SOLLEFTEÅ</t>
        </is>
      </c>
      <c r="G428" t="n">
        <v>3.6</v>
      </c>
      <c r="H428" t="n">
        <v>0</v>
      </c>
      <c r="I428" t="n">
        <v>0</v>
      </c>
      <c r="J428" t="n">
        <v>2</v>
      </c>
      <c r="K428" t="n">
        <v>0</v>
      </c>
      <c r="L428" t="n">
        <v>0</v>
      </c>
      <c r="M428" t="n">
        <v>0</v>
      </c>
      <c r="N428" t="n">
        <v>0</v>
      </c>
      <c r="O428" t="n">
        <v>2</v>
      </c>
      <c r="P428" t="n">
        <v>0</v>
      </c>
      <c r="Q428" t="n">
        <v>2</v>
      </c>
      <c r="R428" s="2" t="inlineStr">
        <is>
          <t>Harticka
Ullticka</t>
        </is>
      </c>
      <c r="S428">
        <f>HYPERLINK("https://klasma.github.io/Logging_2283/artfynd/A 3017-2023 artfynd.xlsx", "A 3017-2023")</f>
        <v/>
      </c>
      <c r="T428">
        <f>HYPERLINK("https://klasma.github.io/Logging_2283/kartor/A 3017-2023 karta.png", "A 3017-2023")</f>
        <v/>
      </c>
      <c r="V428">
        <f>HYPERLINK("https://klasma.github.io/Logging_2283/klagomål/A 3017-2023 FSC-klagomål.docx", "A 3017-2023")</f>
        <v/>
      </c>
      <c r="W428">
        <f>HYPERLINK("https://klasma.github.io/Logging_2283/klagomålsmail/A 3017-2023 FSC-klagomål mail.docx", "A 3017-2023")</f>
        <v/>
      </c>
      <c r="X428">
        <f>HYPERLINK("https://klasma.github.io/Logging_2283/tillsyn/A 3017-2023 tillsynsbegäran.docx", "A 3017-2023")</f>
        <v/>
      </c>
      <c r="Y428">
        <f>HYPERLINK("https://klasma.github.io/Logging_2283/tillsynsmail/A 3017-2023 tillsynsbegäran mail.docx", "A 3017-2023")</f>
        <v/>
      </c>
    </row>
    <row r="429" ht="15" customHeight="1">
      <c r="A429" t="inlineStr">
        <is>
          <t>A 4455-2023</t>
        </is>
      </c>
      <c r="B429" s="1" t="n">
        <v>44956</v>
      </c>
      <c r="C429" s="1" t="n">
        <v>45218</v>
      </c>
      <c r="D429" t="inlineStr">
        <is>
          <t>VÄSTERNORRLANDS LÄN</t>
        </is>
      </c>
      <c r="E429" t="inlineStr">
        <is>
          <t>ÖRNSKÖLDSVIK</t>
        </is>
      </c>
      <c r="F429" t="inlineStr">
        <is>
          <t>Holmen skog AB</t>
        </is>
      </c>
      <c r="G429" t="n">
        <v>22.4</v>
      </c>
      <c r="H429" t="n">
        <v>0</v>
      </c>
      <c r="I429" t="n">
        <v>0</v>
      </c>
      <c r="J429" t="n">
        <v>2</v>
      </c>
      <c r="K429" t="n">
        <v>0</v>
      </c>
      <c r="L429" t="n">
        <v>0</v>
      </c>
      <c r="M429" t="n">
        <v>0</v>
      </c>
      <c r="N429" t="n">
        <v>0</v>
      </c>
      <c r="O429" t="n">
        <v>2</v>
      </c>
      <c r="P429" t="n">
        <v>0</v>
      </c>
      <c r="Q429" t="n">
        <v>2</v>
      </c>
      <c r="R429" s="2" t="inlineStr">
        <is>
          <t>Lunglav
Skrovellav</t>
        </is>
      </c>
      <c r="S429">
        <f>HYPERLINK("https://klasma.github.io/Logging_2284/artfynd/A 4455-2023 artfynd.xlsx", "A 4455-2023")</f>
        <v/>
      </c>
      <c r="T429">
        <f>HYPERLINK("https://klasma.github.io/Logging_2284/kartor/A 4455-2023 karta.png", "A 4455-2023")</f>
        <v/>
      </c>
      <c r="V429">
        <f>HYPERLINK("https://klasma.github.io/Logging_2284/klagomål/A 4455-2023 FSC-klagomål.docx", "A 4455-2023")</f>
        <v/>
      </c>
      <c r="W429">
        <f>HYPERLINK("https://klasma.github.io/Logging_2284/klagomålsmail/A 4455-2023 FSC-klagomål mail.docx", "A 4455-2023")</f>
        <v/>
      </c>
      <c r="X429">
        <f>HYPERLINK("https://klasma.github.io/Logging_2284/tillsyn/A 4455-2023 tillsynsbegäran.docx", "A 4455-2023")</f>
        <v/>
      </c>
      <c r="Y429">
        <f>HYPERLINK("https://klasma.github.io/Logging_2284/tillsynsmail/A 4455-2023 tillsynsbegäran mail.docx", "A 4455-2023")</f>
        <v/>
      </c>
    </row>
    <row r="430" ht="15" customHeight="1">
      <c r="A430" t="inlineStr">
        <is>
          <t>A 8669-2023</t>
        </is>
      </c>
      <c r="B430" s="1" t="n">
        <v>44977</v>
      </c>
      <c r="C430" s="1" t="n">
        <v>45218</v>
      </c>
      <c r="D430" t="inlineStr">
        <is>
          <t>VÄSTERNORRLANDS LÄN</t>
        </is>
      </c>
      <c r="E430" t="inlineStr">
        <is>
          <t>SOLLEFTEÅ</t>
        </is>
      </c>
      <c r="F430" t="inlineStr">
        <is>
          <t>SCA</t>
        </is>
      </c>
      <c r="G430" t="n">
        <v>2.3</v>
      </c>
      <c r="H430" t="n">
        <v>1</v>
      </c>
      <c r="I430" t="n">
        <v>1</v>
      </c>
      <c r="J430" t="n">
        <v>1</v>
      </c>
      <c r="K430" t="n">
        <v>0</v>
      </c>
      <c r="L430" t="n">
        <v>0</v>
      </c>
      <c r="M430" t="n">
        <v>0</v>
      </c>
      <c r="N430" t="n">
        <v>0</v>
      </c>
      <c r="O430" t="n">
        <v>1</v>
      </c>
      <c r="P430" t="n">
        <v>0</v>
      </c>
      <c r="Q430" t="n">
        <v>2</v>
      </c>
      <c r="R430" s="2" t="inlineStr">
        <is>
          <t>Garnlav
Lappranunkel</t>
        </is>
      </c>
      <c r="S430">
        <f>HYPERLINK("https://klasma.github.io/Logging_2283/artfynd/A 8669-2023 artfynd.xlsx", "A 8669-2023")</f>
        <v/>
      </c>
      <c r="T430">
        <f>HYPERLINK("https://klasma.github.io/Logging_2283/kartor/A 8669-2023 karta.png", "A 8669-2023")</f>
        <v/>
      </c>
      <c r="V430">
        <f>HYPERLINK("https://klasma.github.io/Logging_2283/klagomål/A 8669-2023 FSC-klagomål.docx", "A 8669-2023")</f>
        <v/>
      </c>
      <c r="W430">
        <f>HYPERLINK("https://klasma.github.io/Logging_2283/klagomålsmail/A 8669-2023 FSC-klagomål mail.docx", "A 8669-2023")</f>
        <v/>
      </c>
      <c r="X430">
        <f>HYPERLINK("https://klasma.github.io/Logging_2283/tillsyn/A 8669-2023 tillsynsbegäran.docx", "A 8669-2023")</f>
        <v/>
      </c>
      <c r="Y430">
        <f>HYPERLINK("https://klasma.github.io/Logging_2283/tillsynsmail/A 8669-2023 tillsynsbegäran mail.docx", "A 8669-2023")</f>
        <v/>
      </c>
    </row>
    <row r="431" ht="15" customHeight="1">
      <c r="A431" t="inlineStr">
        <is>
          <t>A 11332-2023</t>
        </is>
      </c>
      <c r="B431" s="1" t="n">
        <v>44988</v>
      </c>
      <c r="C431" s="1" t="n">
        <v>45218</v>
      </c>
      <c r="D431" t="inlineStr">
        <is>
          <t>VÄSTERNORRLANDS LÄN</t>
        </is>
      </c>
      <c r="E431" t="inlineStr">
        <is>
          <t>ÖRNSKÖLDSVIK</t>
        </is>
      </c>
      <c r="G431" t="n">
        <v>3.6</v>
      </c>
      <c r="H431" t="n">
        <v>1</v>
      </c>
      <c r="I431" t="n">
        <v>0</v>
      </c>
      <c r="J431" t="n">
        <v>1</v>
      </c>
      <c r="K431" t="n">
        <v>0</v>
      </c>
      <c r="L431" t="n">
        <v>0</v>
      </c>
      <c r="M431" t="n">
        <v>0</v>
      </c>
      <c r="N431" t="n">
        <v>0</v>
      </c>
      <c r="O431" t="n">
        <v>1</v>
      </c>
      <c r="P431" t="n">
        <v>0</v>
      </c>
      <c r="Q431" t="n">
        <v>2</v>
      </c>
      <c r="R431" s="2" t="inlineStr">
        <is>
          <t>Gammelgransskål
Revlummer</t>
        </is>
      </c>
      <c r="S431">
        <f>HYPERLINK("https://klasma.github.io/Logging_2284/artfynd/A 11332-2023 artfynd.xlsx", "A 11332-2023")</f>
        <v/>
      </c>
      <c r="T431">
        <f>HYPERLINK("https://klasma.github.io/Logging_2284/kartor/A 11332-2023 karta.png", "A 11332-2023")</f>
        <v/>
      </c>
      <c r="V431">
        <f>HYPERLINK("https://klasma.github.io/Logging_2284/klagomål/A 11332-2023 FSC-klagomål.docx", "A 11332-2023")</f>
        <v/>
      </c>
      <c r="W431">
        <f>HYPERLINK("https://klasma.github.io/Logging_2284/klagomålsmail/A 11332-2023 FSC-klagomål mail.docx", "A 11332-2023")</f>
        <v/>
      </c>
      <c r="X431">
        <f>HYPERLINK("https://klasma.github.io/Logging_2284/tillsyn/A 11332-2023 tillsynsbegäran.docx", "A 11332-2023")</f>
        <v/>
      </c>
      <c r="Y431">
        <f>HYPERLINK("https://klasma.github.io/Logging_2284/tillsynsmail/A 11332-2023 tillsynsbegäran mail.docx", "A 11332-2023")</f>
        <v/>
      </c>
    </row>
    <row r="432" ht="15" customHeight="1">
      <c r="A432" t="inlineStr">
        <is>
          <t>A 11060-2023</t>
        </is>
      </c>
      <c r="B432" s="1" t="n">
        <v>44991</v>
      </c>
      <c r="C432" s="1" t="n">
        <v>45218</v>
      </c>
      <c r="D432" t="inlineStr">
        <is>
          <t>VÄSTERNORRLANDS LÄN</t>
        </is>
      </c>
      <c r="E432" t="inlineStr">
        <is>
          <t>ÖRNSKÖLDSVIK</t>
        </is>
      </c>
      <c r="F432" t="inlineStr">
        <is>
          <t>SCA</t>
        </is>
      </c>
      <c r="G432" t="n">
        <v>28.4</v>
      </c>
      <c r="H432" t="n">
        <v>0</v>
      </c>
      <c r="I432" t="n">
        <v>0</v>
      </c>
      <c r="J432" t="n">
        <v>2</v>
      </c>
      <c r="K432" t="n">
        <v>0</v>
      </c>
      <c r="L432" t="n">
        <v>0</v>
      </c>
      <c r="M432" t="n">
        <v>0</v>
      </c>
      <c r="N432" t="n">
        <v>0</v>
      </c>
      <c r="O432" t="n">
        <v>2</v>
      </c>
      <c r="P432" t="n">
        <v>0</v>
      </c>
      <c r="Q432" t="n">
        <v>2</v>
      </c>
      <c r="R432" s="2" t="inlineStr">
        <is>
          <t>Granticka
Rödbrun blekspik</t>
        </is>
      </c>
      <c r="S432">
        <f>HYPERLINK("https://klasma.github.io/Logging_2284/artfynd/A 11060-2023 artfynd.xlsx", "A 11060-2023")</f>
        <v/>
      </c>
      <c r="T432">
        <f>HYPERLINK("https://klasma.github.io/Logging_2284/kartor/A 11060-2023 karta.png", "A 11060-2023")</f>
        <v/>
      </c>
      <c r="V432">
        <f>HYPERLINK("https://klasma.github.io/Logging_2284/klagomål/A 11060-2023 FSC-klagomål.docx", "A 11060-2023")</f>
        <v/>
      </c>
      <c r="W432">
        <f>HYPERLINK("https://klasma.github.io/Logging_2284/klagomålsmail/A 11060-2023 FSC-klagomål mail.docx", "A 11060-2023")</f>
        <v/>
      </c>
      <c r="X432">
        <f>HYPERLINK("https://klasma.github.io/Logging_2284/tillsyn/A 11060-2023 tillsynsbegäran.docx", "A 11060-2023")</f>
        <v/>
      </c>
      <c r="Y432">
        <f>HYPERLINK("https://klasma.github.io/Logging_2284/tillsynsmail/A 11060-2023 tillsynsbegäran mail.docx", "A 11060-2023")</f>
        <v/>
      </c>
    </row>
    <row r="433" ht="15" customHeight="1">
      <c r="A433" t="inlineStr">
        <is>
          <t>A 16181-2023</t>
        </is>
      </c>
      <c r="B433" s="1" t="n">
        <v>45027</v>
      </c>
      <c r="C433" s="1" t="n">
        <v>45218</v>
      </c>
      <c r="D433" t="inlineStr">
        <is>
          <t>VÄSTERNORRLANDS LÄN</t>
        </is>
      </c>
      <c r="E433" t="inlineStr">
        <is>
          <t>HÄRNÖSAND</t>
        </is>
      </c>
      <c r="G433" t="n">
        <v>14</v>
      </c>
      <c r="H433" t="n">
        <v>0</v>
      </c>
      <c r="I433" t="n">
        <v>0</v>
      </c>
      <c r="J433" t="n">
        <v>2</v>
      </c>
      <c r="K433" t="n">
        <v>0</v>
      </c>
      <c r="L433" t="n">
        <v>0</v>
      </c>
      <c r="M433" t="n">
        <v>0</v>
      </c>
      <c r="N433" t="n">
        <v>0</v>
      </c>
      <c r="O433" t="n">
        <v>2</v>
      </c>
      <c r="P433" t="n">
        <v>0</v>
      </c>
      <c r="Q433" t="n">
        <v>2</v>
      </c>
      <c r="R433" s="2" t="inlineStr">
        <is>
          <t>Stiftgelélav
Violettgrå tagellav</t>
        </is>
      </c>
      <c r="S433">
        <f>HYPERLINK("https://klasma.github.io/Logging_2280/artfynd/A 16181-2023 artfynd.xlsx", "A 16181-2023")</f>
        <v/>
      </c>
      <c r="T433">
        <f>HYPERLINK("https://klasma.github.io/Logging_2280/kartor/A 16181-2023 karta.png", "A 16181-2023")</f>
        <v/>
      </c>
      <c r="V433">
        <f>HYPERLINK("https://klasma.github.io/Logging_2280/klagomål/A 16181-2023 FSC-klagomål.docx", "A 16181-2023")</f>
        <v/>
      </c>
      <c r="W433">
        <f>HYPERLINK("https://klasma.github.io/Logging_2280/klagomålsmail/A 16181-2023 FSC-klagomål mail.docx", "A 16181-2023")</f>
        <v/>
      </c>
      <c r="X433">
        <f>HYPERLINK("https://klasma.github.io/Logging_2280/tillsyn/A 16181-2023 tillsynsbegäran.docx", "A 16181-2023")</f>
        <v/>
      </c>
      <c r="Y433">
        <f>HYPERLINK("https://klasma.github.io/Logging_2280/tillsynsmail/A 16181-2023 tillsynsbegäran mail.docx", "A 16181-2023")</f>
        <v/>
      </c>
    </row>
    <row r="434" ht="15" customHeight="1">
      <c r="A434" t="inlineStr">
        <is>
          <t>A 18991-2023</t>
        </is>
      </c>
      <c r="B434" s="1" t="n">
        <v>45044</v>
      </c>
      <c r="C434" s="1" t="n">
        <v>45218</v>
      </c>
      <c r="D434" t="inlineStr">
        <is>
          <t>VÄSTERNORRLANDS LÄN</t>
        </is>
      </c>
      <c r="E434" t="inlineStr">
        <is>
          <t>SUNDSVALL</t>
        </is>
      </c>
      <c r="F434" t="inlineStr">
        <is>
          <t>SCA</t>
        </is>
      </c>
      <c r="G434" t="n">
        <v>10</v>
      </c>
      <c r="H434" t="n">
        <v>0</v>
      </c>
      <c r="I434" t="n">
        <v>1</v>
      </c>
      <c r="J434" t="n">
        <v>1</v>
      </c>
      <c r="K434" t="n">
        <v>0</v>
      </c>
      <c r="L434" t="n">
        <v>0</v>
      </c>
      <c r="M434" t="n">
        <v>0</v>
      </c>
      <c r="N434" t="n">
        <v>0</v>
      </c>
      <c r="O434" t="n">
        <v>1</v>
      </c>
      <c r="P434" t="n">
        <v>0</v>
      </c>
      <c r="Q434" t="n">
        <v>2</v>
      </c>
      <c r="R434" s="2" t="inlineStr">
        <is>
          <t>Ullticka
Vedticka</t>
        </is>
      </c>
      <c r="S434">
        <f>HYPERLINK("https://klasma.github.io/Logging_2281/artfynd/A 18991-2023 artfynd.xlsx", "A 18991-2023")</f>
        <v/>
      </c>
      <c r="T434">
        <f>HYPERLINK("https://klasma.github.io/Logging_2281/kartor/A 18991-2023 karta.png", "A 18991-2023")</f>
        <v/>
      </c>
      <c r="V434">
        <f>HYPERLINK("https://klasma.github.io/Logging_2281/klagomål/A 18991-2023 FSC-klagomål.docx", "A 18991-2023")</f>
        <v/>
      </c>
      <c r="W434">
        <f>HYPERLINK("https://klasma.github.io/Logging_2281/klagomålsmail/A 18991-2023 FSC-klagomål mail.docx", "A 18991-2023")</f>
        <v/>
      </c>
      <c r="X434">
        <f>HYPERLINK("https://klasma.github.io/Logging_2281/tillsyn/A 18991-2023 tillsynsbegäran.docx", "A 18991-2023")</f>
        <v/>
      </c>
      <c r="Y434">
        <f>HYPERLINK("https://klasma.github.io/Logging_2281/tillsynsmail/A 18991-2023 tillsynsbegäran mail.docx", "A 18991-2023")</f>
        <v/>
      </c>
    </row>
    <row r="435" ht="15" customHeight="1">
      <c r="A435" t="inlineStr">
        <is>
          <t>A 18998-2023</t>
        </is>
      </c>
      <c r="B435" s="1" t="n">
        <v>45044</v>
      </c>
      <c r="C435" s="1" t="n">
        <v>45218</v>
      </c>
      <c r="D435" t="inlineStr">
        <is>
          <t>VÄSTERNORRLANDS LÄN</t>
        </is>
      </c>
      <c r="E435" t="inlineStr">
        <is>
          <t>SUNDSVALL</t>
        </is>
      </c>
      <c r="F435" t="inlineStr">
        <is>
          <t>SCA</t>
        </is>
      </c>
      <c r="G435" t="n">
        <v>17.7</v>
      </c>
      <c r="H435" t="n">
        <v>1</v>
      </c>
      <c r="I435" t="n">
        <v>0</v>
      </c>
      <c r="J435" t="n">
        <v>1</v>
      </c>
      <c r="K435" t="n">
        <v>1</v>
      </c>
      <c r="L435" t="n">
        <v>0</v>
      </c>
      <c r="M435" t="n">
        <v>0</v>
      </c>
      <c r="N435" t="n">
        <v>0</v>
      </c>
      <c r="O435" t="n">
        <v>2</v>
      </c>
      <c r="P435" t="n">
        <v>1</v>
      </c>
      <c r="Q435" t="n">
        <v>2</v>
      </c>
      <c r="R435" s="2" t="inlineStr">
        <is>
          <t>Knärot
Ullticka</t>
        </is>
      </c>
      <c r="S435">
        <f>HYPERLINK("https://klasma.github.io/Logging_2281/artfynd/A 18998-2023 artfynd.xlsx", "A 18998-2023")</f>
        <v/>
      </c>
      <c r="T435">
        <f>HYPERLINK("https://klasma.github.io/Logging_2281/kartor/A 18998-2023 karta.png", "A 18998-2023")</f>
        <v/>
      </c>
      <c r="U435">
        <f>HYPERLINK("https://klasma.github.io/Logging_2281/knärot/A 18998-2023 karta knärot.png", "A 18998-2023")</f>
        <v/>
      </c>
      <c r="V435">
        <f>HYPERLINK("https://klasma.github.io/Logging_2281/klagomål/A 18998-2023 FSC-klagomål.docx", "A 18998-2023")</f>
        <v/>
      </c>
      <c r="W435">
        <f>HYPERLINK("https://klasma.github.io/Logging_2281/klagomålsmail/A 18998-2023 FSC-klagomål mail.docx", "A 18998-2023")</f>
        <v/>
      </c>
      <c r="X435">
        <f>HYPERLINK("https://klasma.github.io/Logging_2281/tillsyn/A 18998-2023 tillsynsbegäran.docx", "A 18998-2023")</f>
        <v/>
      </c>
      <c r="Y435">
        <f>HYPERLINK("https://klasma.github.io/Logging_2281/tillsynsmail/A 18998-2023 tillsynsbegäran mail.docx", "A 18998-2023")</f>
        <v/>
      </c>
    </row>
    <row r="436" ht="15" customHeight="1">
      <c r="A436" t="inlineStr">
        <is>
          <t>A 19432-2023</t>
        </is>
      </c>
      <c r="B436" s="1" t="n">
        <v>45049</v>
      </c>
      <c r="C436" s="1" t="n">
        <v>45218</v>
      </c>
      <c r="D436" t="inlineStr">
        <is>
          <t>VÄSTERNORRLANDS LÄN</t>
        </is>
      </c>
      <c r="E436" t="inlineStr">
        <is>
          <t>HÄRNÖSAND</t>
        </is>
      </c>
      <c r="F436" t="inlineStr">
        <is>
          <t>SCA</t>
        </is>
      </c>
      <c r="G436" t="n">
        <v>5.6</v>
      </c>
      <c r="H436" t="n">
        <v>0</v>
      </c>
      <c r="I436" t="n">
        <v>1</v>
      </c>
      <c r="J436" t="n">
        <v>1</v>
      </c>
      <c r="K436" t="n">
        <v>0</v>
      </c>
      <c r="L436" t="n">
        <v>0</v>
      </c>
      <c r="M436" t="n">
        <v>0</v>
      </c>
      <c r="N436" t="n">
        <v>0</v>
      </c>
      <c r="O436" t="n">
        <v>1</v>
      </c>
      <c r="P436" t="n">
        <v>0</v>
      </c>
      <c r="Q436" t="n">
        <v>2</v>
      </c>
      <c r="R436" s="2" t="inlineStr">
        <is>
          <t>Garnlav
Vedticka</t>
        </is>
      </c>
      <c r="S436">
        <f>HYPERLINK("https://klasma.github.io/Logging_2280/artfynd/A 19432-2023 artfynd.xlsx", "A 19432-2023")</f>
        <v/>
      </c>
      <c r="T436">
        <f>HYPERLINK("https://klasma.github.io/Logging_2280/kartor/A 19432-2023 karta.png", "A 19432-2023")</f>
        <v/>
      </c>
      <c r="V436">
        <f>HYPERLINK("https://klasma.github.io/Logging_2280/klagomål/A 19432-2023 FSC-klagomål.docx", "A 19432-2023")</f>
        <v/>
      </c>
      <c r="W436">
        <f>HYPERLINK("https://klasma.github.io/Logging_2280/klagomålsmail/A 19432-2023 FSC-klagomål mail.docx", "A 19432-2023")</f>
        <v/>
      </c>
      <c r="X436">
        <f>HYPERLINK("https://klasma.github.io/Logging_2280/tillsyn/A 19432-2023 tillsynsbegäran.docx", "A 19432-2023")</f>
        <v/>
      </c>
      <c r="Y436">
        <f>HYPERLINK("https://klasma.github.io/Logging_2280/tillsynsmail/A 19432-2023 tillsynsbegäran mail.docx", "A 19432-2023")</f>
        <v/>
      </c>
    </row>
    <row r="437" ht="15" customHeight="1">
      <c r="A437" t="inlineStr">
        <is>
          <t>A 20888-2023</t>
        </is>
      </c>
      <c r="B437" s="1" t="n">
        <v>45058</v>
      </c>
      <c r="C437" s="1" t="n">
        <v>45218</v>
      </c>
      <c r="D437" t="inlineStr">
        <is>
          <t>VÄSTERNORRLANDS LÄN</t>
        </is>
      </c>
      <c r="E437" t="inlineStr">
        <is>
          <t>SUNDSVALL</t>
        </is>
      </c>
      <c r="F437" t="inlineStr">
        <is>
          <t>SCA</t>
        </is>
      </c>
      <c r="G437" t="n">
        <v>3.3</v>
      </c>
      <c r="H437" t="n">
        <v>0</v>
      </c>
      <c r="I437" t="n">
        <v>1</v>
      </c>
      <c r="J437" t="n">
        <v>1</v>
      </c>
      <c r="K437" t="n">
        <v>0</v>
      </c>
      <c r="L437" t="n">
        <v>0</v>
      </c>
      <c r="M437" t="n">
        <v>0</v>
      </c>
      <c r="N437" t="n">
        <v>0</v>
      </c>
      <c r="O437" t="n">
        <v>1</v>
      </c>
      <c r="P437" t="n">
        <v>0</v>
      </c>
      <c r="Q437" t="n">
        <v>2</v>
      </c>
      <c r="R437" s="2" t="inlineStr">
        <is>
          <t>Småflikig brosklav
Skinnlav</t>
        </is>
      </c>
      <c r="S437">
        <f>HYPERLINK("https://klasma.github.io/Logging_2281/artfynd/A 20888-2023 artfynd.xlsx", "A 20888-2023")</f>
        <v/>
      </c>
      <c r="T437">
        <f>HYPERLINK("https://klasma.github.io/Logging_2281/kartor/A 20888-2023 karta.png", "A 20888-2023")</f>
        <v/>
      </c>
      <c r="V437">
        <f>HYPERLINK("https://klasma.github.io/Logging_2281/klagomål/A 20888-2023 FSC-klagomål.docx", "A 20888-2023")</f>
        <v/>
      </c>
      <c r="W437">
        <f>HYPERLINK("https://klasma.github.io/Logging_2281/klagomålsmail/A 20888-2023 FSC-klagomål mail.docx", "A 20888-2023")</f>
        <v/>
      </c>
      <c r="X437">
        <f>HYPERLINK("https://klasma.github.io/Logging_2281/tillsyn/A 20888-2023 tillsynsbegäran.docx", "A 20888-2023")</f>
        <v/>
      </c>
      <c r="Y437">
        <f>HYPERLINK("https://klasma.github.io/Logging_2281/tillsynsmail/A 20888-2023 tillsynsbegäran mail.docx", "A 20888-2023")</f>
        <v/>
      </c>
    </row>
    <row r="438" ht="15" customHeight="1">
      <c r="A438" t="inlineStr">
        <is>
          <t>A 23521-2023</t>
        </is>
      </c>
      <c r="B438" s="1" t="n">
        <v>45076</v>
      </c>
      <c r="C438" s="1" t="n">
        <v>45218</v>
      </c>
      <c r="D438" t="inlineStr">
        <is>
          <t>VÄSTERNORRLANDS LÄN</t>
        </is>
      </c>
      <c r="E438" t="inlineStr">
        <is>
          <t>ÅNGE</t>
        </is>
      </c>
      <c r="F438" t="inlineStr">
        <is>
          <t>SCA</t>
        </is>
      </c>
      <c r="G438" t="n">
        <v>5</v>
      </c>
      <c r="H438" t="n">
        <v>0</v>
      </c>
      <c r="I438" t="n">
        <v>0</v>
      </c>
      <c r="J438" t="n">
        <v>2</v>
      </c>
      <c r="K438" t="n">
        <v>0</v>
      </c>
      <c r="L438" t="n">
        <v>0</v>
      </c>
      <c r="M438" t="n">
        <v>0</v>
      </c>
      <c r="N438" t="n">
        <v>0</v>
      </c>
      <c r="O438" t="n">
        <v>2</v>
      </c>
      <c r="P438" t="n">
        <v>0</v>
      </c>
      <c r="Q438" t="n">
        <v>2</v>
      </c>
      <c r="R438" s="2" t="inlineStr">
        <is>
          <t>Garnlav
Rosenticka</t>
        </is>
      </c>
      <c r="S438">
        <f>HYPERLINK("https://klasma.github.io/Logging_2260/artfynd/A 23521-2023 artfynd.xlsx", "A 23521-2023")</f>
        <v/>
      </c>
      <c r="T438">
        <f>HYPERLINK("https://klasma.github.io/Logging_2260/kartor/A 23521-2023 karta.png", "A 23521-2023")</f>
        <v/>
      </c>
      <c r="V438">
        <f>HYPERLINK("https://klasma.github.io/Logging_2260/klagomål/A 23521-2023 FSC-klagomål.docx", "A 23521-2023")</f>
        <v/>
      </c>
      <c r="W438">
        <f>HYPERLINK("https://klasma.github.io/Logging_2260/klagomålsmail/A 23521-2023 FSC-klagomål mail.docx", "A 23521-2023")</f>
        <v/>
      </c>
      <c r="X438">
        <f>HYPERLINK("https://klasma.github.io/Logging_2260/tillsyn/A 23521-2023 tillsynsbegäran.docx", "A 23521-2023")</f>
        <v/>
      </c>
      <c r="Y438">
        <f>HYPERLINK("https://klasma.github.io/Logging_2260/tillsynsmail/A 23521-2023 tillsynsbegäran mail.docx", "A 23521-2023")</f>
        <v/>
      </c>
    </row>
    <row r="439" ht="15" customHeight="1">
      <c r="A439" t="inlineStr">
        <is>
          <t>A 24539-2023</t>
        </is>
      </c>
      <c r="B439" s="1" t="n">
        <v>45082</v>
      </c>
      <c r="C439" s="1" t="n">
        <v>45218</v>
      </c>
      <c r="D439" t="inlineStr">
        <is>
          <t>VÄSTERNORRLANDS LÄN</t>
        </is>
      </c>
      <c r="E439" t="inlineStr">
        <is>
          <t>TIMRÅ</t>
        </is>
      </c>
      <c r="G439" t="n">
        <v>2</v>
      </c>
      <c r="H439" t="n">
        <v>1</v>
      </c>
      <c r="I439" t="n">
        <v>0</v>
      </c>
      <c r="J439" t="n">
        <v>1</v>
      </c>
      <c r="K439" t="n">
        <v>1</v>
      </c>
      <c r="L439" t="n">
        <v>0</v>
      </c>
      <c r="M439" t="n">
        <v>0</v>
      </c>
      <c r="N439" t="n">
        <v>0</v>
      </c>
      <c r="O439" t="n">
        <v>2</v>
      </c>
      <c r="P439" t="n">
        <v>1</v>
      </c>
      <c r="Q439" t="n">
        <v>2</v>
      </c>
      <c r="R439" s="2" t="inlineStr">
        <is>
          <t>Knärot
Ullticka</t>
        </is>
      </c>
      <c r="S439">
        <f>HYPERLINK("https://klasma.github.io/Logging_2262/artfynd/A 24539-2023 artfynd.xlsx", "A 24539-2023")</f>
        <v/>
      </c>
      <c r="T439">
        <f>HYPERLINK("https://klasma.github.io/Logging_2262/kartor/A 24539-2023 karta.png", "A 24539-2023")</f>
        <v/>
      </c>
      <c r="U439">
        <f>HYPERLINK("https://klasma.github.io/Logging_2262/knärot/A 24539-2023 karta knärot.png", "A 24539-2023")</f>
        <v/>
      </c>
      <c r="V439">
        <f>HYPERLINK("https://klasma.github.io/Logging_2262/klagomål/A 24539-2023 FSC-klagomål.docx", "A 24539-2023")</f>
        <v/>
      </c>
      <c r="W439">
        <f>HYPERLINK("https://klasma.github.io/Logging_2262/klagomålsmail/A 24539-2023 FSC-klagomål mail.docx", "A 24539-2023")</f>
        <v/>
      </c>
      <c r="X439">
        <f>HYPERLINK("https://klasma.github.io/Logging_2262/tillsyn/A 24539-2023 tillsynsbegäran.docx", "A 24539-2023")</f>
        <v/>
      </c>
      <c r="Y439">
        <f>HYPERLINK("https://klasma.github.io/Logging_2262/tillsynsmail/A 24539-2023 tillsynsbegäran mail.docx", "A 24539-2023")</f>
        <v/>
      </c>
    </row>
    <row r="440" ht="15" customHeight="1">
      <c r="A440" t="inlineStr">
        <is>
          <t>A 27385-2023</t>
        </is>
      </c>
      <c r="B440" s="1" t="n">
        <v>45096</v>
      </c>
      <c r="C440" s="1" t="n">
        <v>45218</v>
      </c>
      <c r="D440" t="inlineStr">
        <is>
          <t>VÄSTERNORRLANDS LÄN</t>
        </is>
      </c>
      <c r="E440" t="inlineStr">
        <is>
          <t>SUNDSVALL</t>
        </is>
      </c>
      <c r="F440" t="inlineStr">
        <is>
          <t>SCA</t>
        </is>
      </c>
      <c r="G440" t="n">
        <v>11</v>
      </c>
      <c r="H440" t="n">
        <v>1</v>
      </c>
      <c r="I440" t="n">
        <v>0</v>
      </c>
      <c r="J440" t="n">
        <v>1</v>
      </c>
      <c r="K440" t="n">
        <v>0</v>
      </c>
      <c r="L440" t="n">
        <v>0</v>
      </c>
      <c r="M440" t="n">
        <v>0</v>
      </c>
      <c r="N440" t="n">
        <v>0</v>
      </c>
      <c r="O440" t="n">
        <v>1</v>
      </c>
      <c r="P440" t="n">
        <v>0</v>
      </c>
      <c r="Q440" t="n">
        <v>2</v>
      </c>
      <c r="R440" s="2" t="inlineStr">
        <is>
          <t>Lunglav
Revlummer</t>
        </is>
      </c>
      <c r="S440">
        <f>HYPERLINK("https://klasma.github.io/Logging_2281/artfynd/A 27385-2023 artfynd.xlsx", "A 27385-2023")</f>
        <v/>
      </c>
      <c r="T440">
        <f>HYPERLINK("https://klasma.github.io/Logging_2281/kartor/A 27385-2023 karta.png", "A 27385-2023")</f>
        <v/>
      </c>
      <c r="V440">
        <f>HYPERLINK("https://klasma.github.io/Logging_2281/klagomål/A 27385-2023 FSC-klagomål.docx", "A 27385-2023")</f>
        <v/>
      </c>
      <c r="W440">
        <f>HYPERLINK("https://klasma.github.io/Logging_2281/klagomålsmail/A 27385-2023 FSC-klagomål mail.docx", "A 27385-2023")</f>
        <v/>
      </c>
      <c r="X440">
        <f>HYPERLINK("https://klasma.github.io/Logging_2281/tillsyn/A 27385-2023 tillsynsbegäran.docx", "A 27385-2023")</f>
        <v/>
      </c>
      <c r="Y440">
        <f>HYPERLINK("https://klasma.github.io/Logging_2281/tillsynsmail/A 27385-2023 tillsynsbegäran mail.docx", "A 27385-2023")</f>
        <v/>
      </c>
    </row>
    <row r="441" ht="15" customHeight="1">
      <c r="A441" t="inlineStr">
        <is>
          <t>A 27380-2023</t>
        </is>
      </c>
      <c r="B441" s="1" t="n">
        <v>45096</v>
      </c>
      <c r="C441" s="1" t="n">
        <v>45218</v>
      </c>
      <c r="D441" t="inlineStr">
        <is>
          <t>VÄSTERNORRLANDS LÄN</t>
        </is>
      </c>
      <c r="E441" t="inlineStr">
        <is>
          <t>SUNDSVALL</t>
        </is>
      </c>
      <c r="F441" t="inlineStr">
        <is>
          <t>Naturvårdsverket</t>
        </is>
      </c>
      <c r="G441" t="n">
        <v>6.2</v>
      </c>
      <c r="H441" t="n">
        <v>0</v>
      </c>
      <c r="I441" t="n">
        <v>0</v>
      </c>
      <c r="J441" t="n">
        <v>2</v>
      </c>
      <c r="K441" t="n">
        <v>0</v>
      </c>
      <c r="L441" t="n">
        <v>0</v>
      </c>
      <c r="M441" t="n">
        <v>0</v>
      </c>
      <c r="N441" t="n">
        <v>0</v>
      </c>
      <c r="O441" t="n">
        <v>2</v>
      </c>
      <c r="P441" t="n">
        <v>0</v>
      </c>
      <c r="Q441" t="n">
        <v>2</v>
      </c>
      <c r="R441" s="2" t="inlineStr">
        <is>
          <t>Granticka
Gränsticka</t>
        </is>
      </c>
      <c r="S441">
        <f>HYPERLINK("https://klasma.github.io/Logging_2281/artfynd/A 27380-2023 artfynd.xlsx", "A 27380-2023")</f>
        <v/>
      </c>
      <c r="T441">
        <f>HYPERLINK("https://klasma.github.io/Logging_2281/kartor/A 27380-2023 karta.png", "A 27380-2023")</f>
        <v/>
      </c>
      <c r="V441">
        <f>HYPERLINK("https://klasma.github.io/Logging_2281/klagomål/A 27380-2023 FSC-klagomål.docx", "A 27380-2023")</f>
        <v/>
      </c>
      <c r="W441">
        <f>HYPERLINK("https://klasma.github.io/Logging_2281/klagomålsmail/A 27380-2023 FSC-klagomål mail.docx", "A 27380-2023")</f>
        <v/>
      </c>
      <c r="X441">
        <f>HYPERLINK("https://klasma.github.io/Logging_2281/tillsyn/A 27380-2023 tillsynsbegäran.docx", "A 27380-2023")</f>
        <v/>
      </c>
      <c r="Y441">
        <f>HYPERLINK("https://klasma.github.io/Logging_2281/tillsynsmail/A 27380-2023 tillsynsbegäran mail.docx", "A 27380-2023")</f>
        <v/>
      </c>
    </row>
    <row r="442" ht="15" customHeight="1">
      <c r="A442" t="inlineStr">
        <is>
          <t>A 28010-2023</t>
        </is>
      </c>
      <c r="B442" s="1" t="n">
        <v>45098</v>
      </c>
      <c r="C442" s="1" t="n">
        <v>45218</v>
      </c>
      <c r="D442" t="inlineStr">
        <is>
          <t>VÄSTERNORRLANDS LÄN</t>
        </is>
      </c>
      <c r="E442" t="inlineStr">
        <is>
          <t>SUNDSVALL</t>
        </is>
      </c>
      <c r="F442" t="inlineStr">
        <is>
          <t>SCA</t>
        </is>
      </c>
      <c r="G442" t="n">
        <v>8.4</v>
      </c>
      <c r="H442" t="n">
        <v>1</v>
      </c>
      <c r="I442" t="n">
        <v>0</v>
      </c>
      <c r="J442" t="n">
        <v>1</v>
      </c>
      <c r="K442" t="n">
        <v>0</v>
      </c>
      <c r="L442" t="n">
        <v>0</v>
      </c>
      <c r="M442" t="n">
        <v>0</v>
      </c>
      <c r="N442" t="n">
        <v>0</v>
      </c>
      <c r="O442" t="n">
        <v>1</v>
      </c>
      <c r="P442" t="n">
        <v>0</v>
      </c>
      <c r="Q442" t="n">
        <v>2</v>
      </c>
      <c r="R442" s="2" t="inlineStr">
        <is>
          <t>Lunglav
Revlummer</t>
        </is>
      </c>
      <c r="S442">
        <f>HYPERLINK("https://klasma.github.io/Logging_2281/artfynd/A 28010-2023 artfynd.xlsx", "A 28010-2023")</f>
        <v/>
      </c>
      <c r="T442">
        <f>HYPERLINK("https://klasma.github.io/Logging_2281/kartor/A 28010-2023 karta.png", "A 28010-2023")</f>
        <v/>
      </c>
      <c r="V442">
        <f>HYPERLINK("https://klasma.github.io/Logging_2281/klagomål/A 28010-2023 FSC-klagomål.docx", "A 28010-2023")</f>
        <v/>
      </c>
      <c r="W442">
        <f>HYPERLINK("https://klasma.github.io/Logging_2281/klagomålsmail/A 28010-2023 FSC-klagomål mail.docx", "A 28010-2023")</f>
        <v/>
      </c>
      <c r="X442">
        <f>HYPERLINK("https://klasma.github.io/Logging_2281/tillsyn/A 28010-2023 tillsynsbegäran.docx", "A 28010-2023")</f>
        <v/>
      </c>
      <c r="Y442">
        <f>HYPERLINK("https://klasma.github.io/Logging_2281/tillsynsmail/A 28010-2023 tillsynsbegäran mail.docx", "A 28010-2023")</f>
        <v/>
      </c>
    </row>
    <row r="443" ht="15" customHeight="1">
      <c r="A443" t="inlineStr">
        <is>
          <t>A 29325-2023</t>
        </is>
      </c>
      <c r="B443" s="1" t="n">
        <v>45105</v>
      </c>
      <c r="C443" s="1" t="n">
        <v>45218</v>
      </c>
      <c r="D443" t="inlineStr">
        <is>
          <t>VÄSTERNORRLANDS LÄN</t>
        </is>
      </c>
      <c r="E443" t="inlineStr">
        <is>
          <t>ÅNGE</t>
        </is>
      </c>
      <c r="G443" t="n">
        <v>12.4</v>
      </c>
      <c r="H443" t="n">
        <v>0</v>
      </c>
      <c r="I443" t="n">
        <v>0</v>
      </c>
      <c r="J443" t="n">
        <v>2</v>
      </c>
      <c r="K443" t="n">
        <v>0</v>
      </c>
      <c r="L443" t="n">
        <v>0</v>
      </c>
      <c r="M443" t="n">
        <v>0</v>
      </c>
      <c r="N443" t="n">
        <v>0</v>
      </c>
      <c r="O443" t="n">
        <v>2</v>
      </c>
      <c r="P443" t="n">
        <v>0</v>
      </c>
      <c r="Q443" t="n">
        <v>2</v>
      </c>
      <c r="R443" s="2" t="inlineStr">
        <is>
          <t>Kolflarnlav
Mörk kolflarnlav</t>
        </is>
      </c>
      <c r="S443">
        <f>HYPERLINK("https://klasma.github.io/Logging_2260/artfynd/A 29325-2023 artfynd.xlsx", "A 29325-2023")</f>
        <v/>
      </c>
      <c r="T443">
        <f>HYPERLINK("https://klasma.github.io/Logging_2260/kartor/A 29325-2023 karta.png", "A 29325-2023")</f>
        <v/>
      </c>
      <c r="V443">
        <f>HYPERLINK("https://klasma.github.io/Logging_2260/klagomål/A 29325-2023 FSC-klagomål.docx", "A 29325-2023")</f>
        <v/>
      </c>
      <c r="W443">
        <f>HYPERLINK("https://klasma.github.io/Logging_2260/klagomålsmail/A 29325-2023 FSC-klagomål mail.docx", "A 29325-2023")</f>
        <v/>
      </c>
      <c r="X443">
        <f>HYPERLINK("https://klasma.github.io/Logging_2260/tillsyn/A 29325-2023 tillsynsbegäran.docx", "A 29325-2023")</f>
        <v/>
      </c>
      <c r="Y443">
        <f>HYPERLINK("https://klasma.github.io/Logging_2260/tillsynsmail/A 29325-2023 tillsynsbegäran mail.docx", "A 29325-2023")</f>
        <v/>
      </c>
    </row>
    <row r="444" ht="15" customHeight="1">
      <c r="A444" t="inlineStr">
        <is>
          <t>A 31417-2023</t>
        </is>
      </c>
      <c r="B444" s="1" t="n">
        <v>45114</v>
      </c>
      <c r="C444" s="1" t="n">
        <v>45218</v>
      </c>
      <c r="D444" t="inlineStr">
        <is>
          <t>VÄSTERNORRLANDS LÄN</t>
        </is>
      </c>
      <c r="E444" t="inlineStr">
        <is>
          <t>KRAMFORS</t>
        </is>
      </c>
      <c r="G444" t="n">
        <v>5.3</v>
      </c>
      <c r="H444" t="n">
        <v>0</v>
      </c>
      <c r="I444" t="n">
        <v>1</v>
      </c>
      <c r="J444" t="n">
        <v>1</v>
      </c>
      <c r="K444" t="n">
        <v>0</v>
      </c>
      <c r="L444" t="n">
        <v>0</v>
      </c>
      <c r="M444" t="n">
        <v>0</v>
      </c>
      <c r="N444" t="n">
        <v>0</v>
      </c>
      <c r="O444" t="n">
        <v>1</v>
      </c>
      <c r="P444" t="n">
        <v>0</v>
      </c>
      <c r="Q444" t="n">
        <v>2</v>
      </c>
      <c r="R444" s="2" t="inlineStr">
        <is>
          <t>Stiftgelélav
Gytterlav</t>
        </is>
      </c>
      <c r="S444">
        <f>HYPERLINK("https://klasma.github.io/Logging_2282/artfynd/A 31417-2023 artfynd.xlsx", "A 31417-2023")</f>
        <v/>
      </c>
      <c r="T444">
        <f>HYPERLINK("https://klasma.github.io/Logging_2282/kartor/A 31417-2023 karta.png", "A 31417-2023")</f>
        <v/>
      </c>
      <c r="V444">
        <f>HYPERLINK("https://klasma.github.io/Logging_2282/klagomål/A 31417-2023 FSC-klagomål.docx", "A 31417-2023")</f>
        <v/>
      </c>
      <c r="W444">
        <f>HYPERLINK("https://klasma.github.io/Logging_2282/klagomålsmail/A 31417-2023 FSC-klagomål mail.docx", "A 31417-2023")</f>
        <v/>
      </c>
      <c r="X444">
        <f>HYPERLINK("https://klasma.github.io/Logging_2282/tillsyn/A 31417-2023 tillsynsbegäran.docx", "A 31417-2023")</f>
        <v/>
      </c>
      <c r="Y444">
        <f>HYPERLINK("https://klasma.github.io/Logging_2282/tillsynsmail/A 31417-2023 tillsynsbegäran mail.docx", "A 31417-2023")</f>
        <v/>
      </c>
    </row>
    <row r="445" ht="15" customHeight="1">
      <c r="A445" t="inlineStr">
        <is>
          <t>A 33210-2023</t>
        </is>
      </c>
      <c r="B445" s="1" t="n">
        <v>45114</v>
      </c>
      <c r="C445" s="1" t="n">
        <v>45218</v>
      </c>
      <c r="D445" t="inlineStr">
        <is>
          <t>VÄSTERNORRLANDS LÄN</t>
        </is>
      </c>
      <c r="E445" t="inlineStr">
        <is>
          <t>KRAMFORS</t>
        </is>
      </c>
      <c r="G445" t="n">
        <v>20.1</v>
      </c>
      <c r="H445" t="n">
        <v>1</v>
      </c>
      <c r="I445" t="n">
        <v>1</v>
      </c>
      <c r="J445" t="n">
        <v>0</v>
      </c>
      <c r="K445" t="n">
        <v>0</v>
      </c>
      <c r="L445" t="n">
        <v>0</v>
      </c>
      <c r="M445" t="n">
        <v>0</v>
      </c>
      <c r="N445" t="n">
        <v>0</v>
      </c>
      <c r="O445" t="n">
        <v>0</v>
      </c>
      <c r="P445" t="n">
        <v>0</v>
      </c>
      <c r="Q445" t="n">
        <v>2</v>
      </c>
      <c r="R445" s="2" t="inlineStr">
        <is>
          <t>Svart trolldruva
Blåsippa</t>
        </is>
      </c>
      <c r="S445">
        <f>HYPERLINK("https://klasma.github.io/Logging_2282/artfynd/A 33210-2023 artfynd.xlsx", "A 33210-2023")</f>
        <v/>
      </c>
      <c r="T445">
        <f>HYPERLINK("https://klasma.github.io/Logging_2282/kartor/A 33210-2023 karta.png", "A 33210-2023")</f>
        <v/>
      </c>
      <c r="V445">
        <f>HYPERLINK("https://klasma.github.io/Logging_2282/klagomål/A 33210-2023 FSC-klagomål.docx", "A 33210-2023")</f>
        <v/>
      </c>
      <c r="W445">
        <f>HYPERLINK("https://klasma.github.io/Logging_2282/klagomålsmail/A 33210-2023 FSC-klagomål mail.docx", "A 33210-2023")</f>
        <v/>
      </c>
      <c r="X445">
        <f>HYPERLINK("https://klasma.github.io/Logging_2282/tillsyn/A 33210-2023 tillsynsbegäran.docx", "A 33210-2023")</f>
        <v/>
      </c>
      <c r="Y445">
        <f>HYPERLINK("https://klasma.github.io/Logging_2282/tillsynsmail/A 33210-2023 tillsynsbegäran mail.docx", "A 33210-2023")</f>
        <v/>
      </c>
    </row>
    <row r="446" ht="15" customHeight="1">
      <c r="A446" t="inlineStr">
        <is>
          <t>A 32494-2023</t>
        </is>
      </c>
      <c r="B446" s="1" t="n">
        <v>45121</v>
      </c>
      <c r="C446" s="1" t="n">
        <v>45218</v>
      </c>
      <c r="D446" t="inlineStr">
        <is>
          <t>VÄSTERNORRLANDS LÄN</t>
        </is>
      </c>
      <c r="E446" t="inlineStr">
        <is>
          <t>ÅNGE</t>
        </is>
      </c>
      <c r="F446" t="inlineStr">
        <is>
          <t>Sveaskog</t>
        </is>
      </c>
      <c r="G446" t="n">
        <v>4.4</v>
      </c>
      <c r="H446" t="n">
        <v>0</v>
      </c>
      <c r="I446" t="n">
        <v>0</v>
      </c>
      <c r="J446" t="n">
        <v>2</v>
      </c>
      <c r="K446" t="n">
        <v>0</v>
      </c>
      <c r="L446" t="n">
        <v>0</v>
      </c>
      <c r="M446" t="n">
        <v>0</v>
      </c>
      <c r="N446" t="n">
        <v>0</v>
      </c>
      <c r="O446" t="n">
        <v>2</v>
      </c>
      <c r="P446" t="n">
        <v>0</v>
      </c>
      <c r="Q446" t="n">
        <v>2</v>
      </c>
      <c r="R446" s="2" t="inlineStr">
        <is>
          <t>Garnlav
Lunglav</t>
        </is>
      </c>
      <c r="S446">
        <f>HYPERLINK("https://klasma.github.io/Logging_2260/artfynd/A 32494-2023 artfynd.xlsx", "A 32494-2023")</f>
        <v/>
      </c>
      <c r="T446">
        <f>HYPERLINK("https://klasma.github.io/Logging_2260/kartor/A 32494-2023 karta.png", "A 32494-2023")</f>
        <v/>
      </c>
      <c r="V446">
        <f>HYPERLINK("https://klasma.github.io/Logging_2260/klagomål/A 32494-2023 FSC-klagomål.docx", "A 32494-2023")</f>
        <v/>
      </c>
      <c r="W446">
        <f>HYPERLINK("https://klasma.github.io/Logging_2260/klagomålsmail/A 32494-2023 FSC-klagomål mail.docx", "A 32494-2023")</f>
        <v/>
      </c>
      <c r="X446">
        <f>HYPERLINK("https://klasma.github.io/Logging_2260/tillsyn/A 32494-2023 tillsynsbegäran.docx", "A 32494-2023")</f>
        <v/>
      </c>
      <c r="Y446">
        <f>HYPERLINK("https://klasma.github.io/Logging_2260/tillsynsmail/A 32494-2023 tillsynsbegäran mail.docx", "A 32494-2023")</f>
        <v/>
      </c>
    </row>
    <row r="447" ht="15" customHeight="1">
      <c r="A447" t="inlineStr">
        <is>
          <t>A 32559-2023</t>
        </is>
      </c>
      <c r="B447" s="1" t="n">
        <v>45121</v>
      </c>
      <c r="C447" s="1" t="n">
        <v>45218</v>
      </c>
      <c r="D447" t="inlineStr">
        <is>
          <t>VÄSTERNORRLANDS LÄN</t>
        </is>
      </c>
      <c r="E447" t="inlineStr">
        <is>
          <t>ÅNGE</t>
        </is>
      </c>
      <c r="F447" t="inlineStr">
        <is>
          <t>Kyrkan</t>
        </is>
      </c>
      <c r="G447" t="n">
        <v>88.90000000000001</v>
      </c>
      <c r="H447" t="n">
        <v>2</v>
      </c>
      <c r="I447" t="n">
        <v>1</v>
      </c>
      <c r="J447" t="n">
        <v>0</v>
      </c>
      <c r="K447" t="n">
        <v>0</v>
      </c>
      <c r="L447" t="n">
        <v>0</v>
      </c>
      <c r="M447" t="n">
        <v>0</v>
      </c>
      <c r="N447" t="n">
        <v>0</v>
      </c>
      <c r="O447" t="n">
        <v>0</v>
      </c>
      <c r="P447" t="n">
        <v>0</v>
      </c>
      <c r="Q447" t="n">
        <v>2</v>
      </c>
      <c r="R447" s="2" t="inlineStr">
        <is>
          <t>Korallrot
Fläcknycklar</t>
        </is>
      </c>
      <c r="S447">
        <f>HYPERLINK("https://klasma.github.io/Logging_2260/artfynd/A 32559-2023 artfynd.xlsx", "A 32559-2023")</f>
        <v/>
      </c>
      <c r="T447">
        <f>HYPERLINK("https://klasma.github.io/Logging_2260/kartor/A 32559-2023 karta.png", "A 32559-2023")</f>
        <v/>
      </c>
      <c r="V447">
        <f>HYPERLINK("https://klasma.github.io/Logging_2260/klagomål/A 32559-2023 FSC-klagomål.docx", "A 32559-2023")</f>
        <v/>
      </c>
      <c r="W447">
        <f>HYPERLINK("https://klasma.github.io/Logging_2260/klagomålsmail/A 32559-2023 FSC-klagomål mail.docx", "A 32559-2023")</f>
        <v/>
      </c>
      <c r="X447">
        <f>HYPERLINK("https://klasma.github.io/Logging_2260/tillsyn/A 32559-2023 tillsynsbegäran.docx", "A 32559-2023")</f>
        <v/>
      </c>
      <c r="Y447">
        <f>HYPERLINK("https://klasma.github.io/Logging_2260/tillsynsmail/A 32559-2023 tillsynsbegäran mail.docx", "A 32559-2023")</f>
        <v/>
      </c>
    </row>
    <row r="448" ht="15" customHeight="1">
      <c r="A448" t="inlineStr">
        <is>
          <t>A 33036-2023</t>
        </is>
      </c>
      <c r="B448" s="1" t="n">
        <v>45125</v>
      </c>
      <c r="C448" s="1" t="n">
        <v>45218</v>
      </c>
      <c r="D448" t="inlineStr">
        <is>
          <t>VÄSTERNORRLANDS LÄN</t>
        </is>
      </c>
      <c r="E448" t="inlineStr">
        <is>
          <t>SOLLEFTEÅ</t>
        </is>
      </c>
      <c r="F448" t="inlineStr">
        <is>
          <t>SCA</t>
        </is>
      </c>
      <c r="G448" t="n">
        <v>12</v>
      </c>
      <c r="H448" t="n">
        <v>0</v>
      </c>
      <c r="I448" t="n">
        <v>1</v>
      </c>
      <c r="J448" t="n">
        <v>1</v>
      </c>
      <c r="K448" t="n">
        <v>0</v>
      </c>
      <c r="L448" t="n">
        <v>0</v>
      </c>
      <c r="M448" t="n">
        <v>0</v>
      </c>
      <c r="N448" t="n">
        <v>0</v>
      </c>
      <c r="O448" t="n">
        <v>1</v>
      </c>
      <c r="P448" t="n">
        <v>0</v>
      </c>
      <c r="Q448" t="n">
        <v>2</v>
      </c>
      <c r="R448" s="2" t="inlineStr">
        <is>
          <t>Småflikig brosklav
Stuplav</t>
        </is>
      </c>
      <c r="S448">
        <f>HYPERLINK("https://klasma.github.io/Logging_2283/artfynd/A 33036-2023 artfynd.xlsx", "A 33036-2023")</f>
        <v/>
      </c>
      <c r="T448">
        <f>HYPERLINK("https://klasma.github.io/Logging_2283/kartor/A 33036-2023 karta.png", "A 33036-2023")</f>
        <v/>
      </c>
      <c r="V448">
        <f>HYPERLINK("https://klasma.github.io/Logging_2283/klagomål/A 33036-2023 FSC-klagomål.docx", "A 33036-2023")</f>
        <v/>
      </c>
      <c r="W448">
        <f>HYPERLINK("https://klasma.github.io/Logging_2283/klagomålsmail/A 33036-2023 FSC-klagomål mail.docx", "A 33036-2023")</f>
        <v/>
      </c>
      <c r="X448">
        <f>HYPERLINK("https://klasma.github.io/Logging_2283/tillsyn/A 33036-2023 tillsynsbegäran.docx", "A 33036-2023")</f>
        <v/>
      </c>
      <c r="Y448">
        <f>HYPERLINK("https://klasma.github.io/Logging_2283/tillsynsmail/A 33036-2023 tillsynsbegäran mail.docx", "A 33036-2023")</f>
        <v/>
      </c>
    </row>
    <row r="449" ht="15" customHeight="1">
      <c r="A449" t="inlineStr">
        <is>
          <t>A 35003-2023</t>
        </is>
      </c>
      <c r="B449" s="1" t="n">
        <v>45142</v>
      </c>
      <c r="C449" s="1" t="n">
        <v>45218</v>
      </c>
      <c r="D449" t="inlineStr">
        <is>
          <t>VÄSTERNORRLANDS LÄN</t>
        </is>
      </c>
      <c r="E449" t="inlineStr">
        <is>
          <t>TIMRÅ</t>
        </is>
      </c>
      <c r="F449" t="inlineStr">
        <is>
          <t>SCA</t>
        </is>
      </c>
      <c r="G449" t="n">
        <v>1.9</v>
      </c>
      <c r="H449" t="n">
        <v>0</v>
      </c>
      <c r="I449" t="n">
        <v>0</v>
      </c>
      <c r="J449" t="n">
        <v>2</v>
      </c>
      <c r="K449" t="n">
        <v>0</v>
      </c>
      <c r="L449" t="n">
        <v>0</v>
      </c>
      <c r="M449" t="n">
        <v>0</v>
      </c>
      <c r="N449" t="n">
        <v>0</v>
      </c>
      <c r="O449" t="n">
        <v>2</v>
      </c>
      <c r="P449" t="n">
        <v>0</v>
      </c>
      <c r="Q449" t="n">
        <v>2</v>
      </c>
      <c r="R449" s="2" t="inlineStr">
        <is>
          <t>Lunglav
Ullticka</t>
        </is>
      </c>
      <c r="S449">
        <f>HYPERLINK("https://klasma.github.io/Logging_2262/artfynd/A 35003-2023 artfynd.xlsx", "A 35003-2023")</f>
        <v/>
      </c>
      <c r="T449">
        <f>HYPERLINK("https://klasma.github.io/Logging_2262/kartor/A 35003-2023 karta.png", "A 35003-2023")</f>
        <v/>
      </c>
      <c r="V449">
        <f>HYPERLINK("https://klasma.github.io/Logging_2262/klagomål/A 35003-2023 FSC-klagomål.docx", "A 35003-2023")</f>
        <v/>
      </c>
      <c r="W449">
        <f>HYPERLINK("https://klasma.github.io/Logging_2262/klagomålsmail/A 35003-2023 FSC-klagomål mail.docx", "A 35003-2023")</f>
        <v/>
      </c>
      <c r="X449">
        <f>HYPERLINK("https://klasma.github.io/Logging_2262/tillsyn/A 35003-2023 tillsynsbegäran.docx", "A 35003-2023")</f>
        <v/>
      </c>
      <c r="Y449">
        <f>HYPERLINK("https://klasma.github.io/Logging_2262/tillsynsmail/A 35003-2023 tillsynsbegäran mail.docx", "A 35003-2023")</f>
        <v/>
      </c>
    </row>
    <row r="450" ht="15" customHeight="1">
      <c r="A450" t="inlineStr">
        <is>
          <t>A 35587-2023</t>
        </is>
      </c>
      <c r="B450" s="1" t="n">
        <v>45147</v>
      </c>
      <c r="C450" s="1" t="n">
        <v>45218</v>
      </c>
      <c r="D450" t="inlineStr">
        <is>
          <t>VÄSTERNORRLANDS LÄN</t>
        </is>
      </c>
      <c r="E450" t="inlineStr">
        <is>
          <t>SOLLEFTEÅ</t>
        </is>
      </c>
      <c r="F450" t="inlineStr">
        <is>
          <t>Holmen skog AB</t>
        </is>
      </c>
      <c r="G450" t="n">
        <v>5.1</v>
      </c>
      <c r="H450" t="n">
        <v>0</v>
      </c>
      <c r="I450" t="n">
        <v>1</v>
      </c>
      <c r="J450" t="n">
        <v>0</v>
      </c>
      <c r="K450" t="n">
        <v>1</v>
      </c>
      <c r="L450" t="n">
        <v>0</v>
      </c>
      <c r="M450" t="n">
        <v>0</v>
      </c>
      <c r="N450" t="n">
        <v>0</v>
      </c>
      <c r="O450" t="n">
        <v>1</v>
      </c>
      <c r="P450" t="n">
        <v>1</v>
      </c>
      <c r="Q450" t="n">
        <v>2</v>
      </c>
      <c r="R450" s="2" t="inlineStr">
        <is>
          <t>Fläckporing
Dropptaggsvamp</t>
        </is>
      </c>
      <c r="S450">
        <f>HYPERLINK("https://klasma.github.io/Logging_2283/artfynd/A 35587-2023 artfynd.xlsx", "A 35587-2023")</f>
        <v/>
      </c>
      <c r="T450">
        <f>HYPERLINK("https://klasma.github.io/Logging_2283/kartor/A 35587-2023 karta.png", "A 35587-2023")</f>
        <v/>
      </c>
      <c r="V450">
        <f>HYPERLINK("https://klasma.github.io/Logging_2283/klagomål/A 35587-2023 FSC-klagomål.docx", "A 35587-2023")</f>
        <v/>
      </c>
      <c r="W450">
        <f>HYPERLINK("https://klasma.github.io/Logging_2283/klagomålsmail/A 35587-2023 FSC-klagomål mail.docx", "A 35587-2023")</f>
        <v/>
      </c>
      <c r="X450">
        <f>HYPERLINK("https://klasma.github.io/Logging_2283/tillsyn/A 35587-2023 tillsynsbegäran.docx", "A 35587-2023")</f>
        <v/>
      </c>
      <c r="Y450">
        <f>HYPERLINK("https://klasma.github.io/Logging_2283/tillsynsmail/A 35587-2023 tillsynsbegäran mail.docx", "A 35587-2023")</f>
        <v/>
      </c>
    </row>
    <row r="451" ht="15" customHeight="1">
      <c r="A451" t="inlineStr">
        <is>
          <t>A 38977-2023</t>
        </is>
      </c>
      <c r="B451" s="1" t="n">
        <v>45161</v>
      </c>
      <c r="C451" s="1" t="n">
        <v>45218</v>
      </c>
      <c r="D451" t="inlineStr">
        <is>
          <t>VÄSTERNORRLANDS LÄN</t>
        </is>
      </c>
      <c r="E451" t="inlineStr">
        <is>
          <t>KRAMFORS</t>
        </is>
      </c>
      <c r="G451" t="n">
        <v>1</v>
      </c>
      <c r="H451" t="n">
        <v>0</v>
      </c>
      <c r="I451" t="n">
        <v>0</v>
      </c>
      <c r="J451" t="n">
        <v>2</v>
      </c>
      <c r="K451" t="n">
        <v>0</v>
      </c>
      <c r="L451" t="n">
        <v>0</v>
      </c>
      <c r="M451" t="n">
        <v>0</v>
      </c>
      <c r="N451" t="n">
        <v>0</v>
      </c>
      <c r="O451" t="n">
        <v>2</v>
      </c>
      <c r="P451" t="n">
        <v>0</v>
      </c>
      <c r="Q451" t="n">
        <v>2</v>
      </c>
      <c r="R451" s="2" t="inlineStr">
        <is>
          <t>Kolflarnlav
Violettgrå tagellav</t>
        </is>
      </c>
      <c r="S451">
        <f>HYPERLINK("https://klasma.github.io/Logging_2282/artfynd/A 38977-2023 artfynd.xlsx", "A 38977-2023")</f>
        <v/>
      </c>
      <c r="T451">
        <f>HYPERLINK("https://klasma.github.io/Logging_2282/kartor/A 38977-2023 karta.png", "A 38977-2023")</f>
        <v/>
      </c>
      <c r="V451">
        <f>HYPERLINK("https://klasma.github.io/Logging_2282/klagomål/A 38977-2023 FSC-klagomål.docx", "A 38977-2023")</f>
        <v/>
      </c>
      <c r="W451">
        <f>HYPERLINK("https://klasma.github.io/Logging_2282/klagomålsmail/A 38977-2023 FSC-klagomål mail.docx", "A 38977-2023")</f>
        <v/>
      </c>
      <c r="X451">
        <f>HYPERLINK("https://klasma.github.io/Logging_2282/tillsyn/A 38977-2023 tillsynsbegäran.docx", "A 38977-2023")</f>
        <v/>
      </c>
      <c r="Y451">
        <f>HYPERLINK("https://klasma.github.io/Logging_2282/tillsynsmail/A 38977-2023 tillsynsbegäran mail.docx", "A 38977-2023")</f>
        <v/>
      </c>
    </row>
    <row r="452" ht="15" customHeight="1">
      <c r="A452" t="inlineStr">
        <is>
          <t>A 37049-2018</t>
        </is>
      </c>
      <c r="B452" s="1" t="n">
        <v>43332</v>
      </c>
      <c r="C452" s="1" t="n">
        <v>45218</v>
      </c>
      <c r="D452" t="inlineStr">
        <is>
          <t>VÄSTERNORRLANDS LÄN</t>
        </is>
      </c>
      <c r="E452" t="inlineStr">
        <is>
          <t>ÖRNSKÖLDSVIK</t>
        </is>
      </c>
      <c r="G452" t="n">
        <v>16.5</v>
      </c>
      <c r="H452" t="n">
        <v>1</v>
      </c>
      <c r="I452" t="n">
        <v>0</v>
      </c>
      <c r="J452" t="n">
        <v>1</v>
      </c>
      <c r="K452" t="n">
        <v>0</v>
      </c>
      <c r="L452" t="n">
        <v>0</v>
      </c>
      <c r="M452" t="n">
        <v>0</v>
      </c>
      <c r="N452" t="n">
        <v>0</v>
      </c>
      <c r="O452" t="n">
        <v>1</v>
      </c>
      <c r="P452" t="n">
        <v>0</v>
      </c>
      <c r="Q452" t="n">
        <v>1</v>
      </c>
      <c r="R452" s="2" t="inlineStr">
        <is>
          <t>Havsörn</t>
        </is>
      </c>
      <c r="S452">
        <f>HYPERLINK("https://klasma.github.io/Logging_2284/artfynd/A 37049-2018 artfynd.xlsx", "A 37049-2018")</f>
        <v/>
      </c>
      <c r="T452">
        <f>HYPERLINK("https://klasma.github.io/Logging_2284/kartor/A 37049-2018 karta.png", "A 37049-2018")</f>
        <v/>
      </c>
      <c r="V452">
        <f>HYPERLINK("https://klasma.github.io/Logging_2284/klagomål/A 37049-2018 FSC-klagomål.docx", "A 37049-2018")</f>
        <v/>
      </c>
      <c r="W452">
        <f>HYPERLINK("https://klasma.github.io/Logging_2284/klagomålsmail/A 37049-2018 FSC-klagomål mail.docx", "A 37049-2018")</f>
        <v/>
      </c>
      <c r="X452">
        <f>HYPERLINK("https://klasma.github.io/Logging_2284/tillsyn/A 37049-2018 tillsynsbegäran.docx", "A 37049-2018")</f>
        <v/>
      </c>
      <c r="Y452">
        <f>HYPERLINK("https://klasma.github.io/Logging_2284/tillsynsmail/A 37049-2018 tillsynsbegäran mail.docx", "A 37049-2018")</f>
        <v/>
      </c>
    </row>
    <row r="453" ht="15" customHeight="1">
      <c r="A453" t="inlineStr">
        <is>
          <t>A 42954-2018</t>
        </is>
      </c>
      <c r="B453" s="1" t="n">
        <v>43355</v>
      </c>
      <c r="C453" s="1" t="n">
        <v>45218</v>
      </c>
      <c r="D453" t="inlineStr">
        <is>
          <t>VÄSTERNORRLANDS LÄN</t>
        </is>
      </c>
      <c r="E453" t="inlineStr">
        <is>
          <t>SUNDSVALL</t>
        </is>
      </c>
      <c r="G453" t="n">
        <v>2.1</v>
      </c>
      <c r="H453" t="n">
        <v>0</v>
      </c>
      <c r="I453" t="n">
        <v>0</v>
      </c>
      <c r="J453" t="n">
        <v>1</v>
      </c>
      <c r="K453" t="n">
        <v>0</v>
      </c>
      <c r="L453" t="n">
        <v>0</v>
      </c>
      <c r="M453" t="n">
        <v>0</v>
      </c>
      <c r="N453" t="n">
        <v>0</v>
      </c>
      <c r="O453" t="n">
        <v>1</v>
      </c>
      <c r="P453" t="n">
        <v>0</v>
      </c>
      <c r="Q453" t="n">
        <v>1</v>
      </c>
      <c r="R453" s="2" t="inlineStr">
        <is>
          <t>Desmeknopp</t>
        </is>
      </c>
      <c r="S453">
        <f>HYPERLINK("https://klasma.github.io/Logging_2281/artfynd/A 42954-2018 artfynd.xlsx", "A 42954-2018")</f>
        <v/>
      </c>
      <c r="T453">
        <f>HYPERLINK("https://klasma.github.io/Logging_2281/kartor/A 42954-2018 karta.png", "A 42954-2018")</f>
        <v/>
      </c>
      <c r="V453">
        <f>HYPERLINK("https://klasma.github.io/Logging_2281/klagomål/A 42954-2018 FSC-klagomål.docx", "A 42954-2018")</f>
        <v/>
      </c>
      <c r="W453">
        <f>HYPERLINK("https://klasma.github.io/Logging_2281/klagomålsmail/A 42954-2018 FSC-klagomål mail.docx", "A 42954-2018")</f>
        <v/>
      </c>
      <c r="X453">
        <f>HYPERLINK("https://klasma.github.io/Logging_2281/tillsyn/A 42954-2018 tillsynsbegäran.docx", "A 42954-2018")</f>
        <v/>
      </c>
      <c r="Y453">
        <f>HYPERLINK("https://klasma.github.io/Logging_2281/tillsynsmail/A 42954-2018 tillsynsbegäran mail.docx", "A 42954-2018")</f>
        <v/>
      </c>
    </row>
    <row r="454" ht="15" customHeight="1">
      <c r="A454" t="inlineStr">
        <is>
          <t>A 49231-2018</t>
        </is>
      </c>
      <c r="B454" s="1" t="n">
        <v>43374</v>
      </c>
      <c r="C454" s="1" t="n">
        <v>45218</v>
      </c>
      <c r="D454" t="inlineStr">
        <is>
          <t>VÄSTERNORRLANDS LÄN</t>
        </is>
      </c>
      <c r="E454" t="inlineStr">
        <is>
          <t>SUNDSVALL</t>
        </is>
      </c>
      <c r="G454" t="n">
        <v>1.2</v>
      </c>
      <c r="H454" t="n">
        <v>1</v>
      </c>
      <c r="I454" t="n">
        <v>0</v>
      </c>
      <c r="J454" t="n">
        <v>0</v>
      </c>
      <c r="K454" t="n">
        <v>0</v>
      </c>
      <c r="L454" t="n">
        <v>0</v>
      </c>
      <c r="M454" t="n">
        <v>0</v>
      </c>
      <c r="N454" t="n">
        <v>0</v>
      </c>
      <c r="O454" t="n">
        <v>0</v>
      </c>
      <c r="P454" t="n">
        <v>0</v>
      </c>
      <c r="Q454" t="n">
        <v>1</v>
      </c>
      <c r="R454" s="2" t="inlineStr">
        <is>
          <t>Blåsippa</t>
        </is>
      </c>
      <c r="S454">
        <f>HYPERLINK("https://klasma.github.io/Logging_2281/artfynd/A 49231-2018 artfynd.xlsx", "A 49231-2018")</f>
        <v/>
      </c>
      <c r="T454">
        <f>HYPERLINK("https://klasma.github.io/Logging_2281/kartor/A 49231-2018 karta.png", "A 49231-2018")</f>
        <v/>
      </c>
      <c r="V454">
        <f>HYPERLINK("https://klasma.github.io/Logging_2281/klagomål/A 49231-2018 FSC-klagomål.docx", "A 49231-2018")</f>
        <v/>
      </c>
      <c r="W454">
        <f>HYPERLINK("https://klasma.github.io/Logging_2281/klagomålsmail/A 49231-2018 FSC-klagomål mail.docx", "A 49231-2018")</f>
        <v/>
      </c>
      <c r="X454">
        <f>HYPERLINK("https://klasma.github.io/Logging_2281/tillsyn/A 49231-2018 tillsynsbegäran.docx", "A 49231-2018")</f>
        <v/>
      </c>
      <c r="Y454">
        <f>HYPERLINK("https://klasma.github.io/Logging_2281/tillsynsmail/A 49231-2018 tillsynsbegäran mail.docx", "A 49231-2018")</f>
        <v/>
      </c>
    </row>
    <row r="455" ht="15" customHeight="1">
      <c r="A455" t="inlineStr">
        <is>
          <t>A 51889-2018</t>
        </is>
      </c>
      <c r="B455" s="1" t="n">
        <v>43385</v>
      </c>
      <c r="C455" s="1" t="n">
        <v>45218</v>
      </c>
      <c r="D455" t="inlineStr">
        <is>
          <t>VÄSTERNORRLANDS LÄN</t>
        </is>
      </c>
      <c r="E455" t="inlineStr">
        <is>
          <t>ÖRNSKÖLDSVIK</t>
        </is>
      </c>
      <c r="G455" t="n">
        <v>2.8</v>
      </c>
      <c r="H455" t="n">
        <v>0</v>
      </c>
      <c r="I455" t="n">
        <v>1</v>
      </c>
      <c r="J455" t="n">
        <v>0</v>
      </c>
      <c r="K455" t="n">
        <v>0</v>
      </c>
      <c r="L455" t="n">
        <v>0</v>
      </c>
      <c r="M455" t="n">
        <v>0</v>
      </c>
      <c r="N455" t="n">
        <v>0</v>
      </c>
      <c r="O455" t="n">
        <v>0</v>
      </c>
      <c r="P455" t="n">
        <v>0</v>
      </c>
      <c r="Q455" t="n">
        <v>1</v>
      </c>
      <c r="R455" s="2" t="inlineStr">
        <is>
          <t>Skinnlav</t>
        </is>
      </c>
      <c r="S455">
        <f>HYPERLINK("https://klasma.github.io/Logging_2284/artfynd/A 51889-2018 artfynd.xlsx", "A 51889-2018")</f>
        <v/>
      </c>
      <c r="T455">
        <f>HYPERLINK("https://klasma.github.io/Logging_2284/kartor/A 51889-2018 karta.png", "A 51889-2018")</f>
        <v/>
      </c>
      <c r="V455">
        <f>HYPERLINK("https://klasma.github.io/Logging_2284/klagomål/A 51889-2018 FSC-klagomål.docx", "A 51889-2018")</f>
        <v/>
      </c>
      <c r="W455">
        <f>HYPERLINK("https://klasma.github.io/Logging_2284/klagomålsmail/A 51889-2018 FSC-klagomål mail.docx", "A 51889-2018")</f>
        <v/>
      </c>
      <c r="X455">
        <f>HYPERLINK("https://klasma.github.io/Logging_2284/tillsyn/A 51889-2018 tillsynsbegäran.docx", "A 51889-2018")</f>
        <v/>
      </c>
      <c r="Y455">
        <f>HYPERLINK("https://klasma.github.io/Logging_2284/tillsynsmail/A 51889-2018 tillsynsbegäran mail.docx", "A 51889-2018")</f>
        <v/>
      </c>
    </row>
    <row r="456" ht="15" customHeight="1">
      <c r="A456" t="inlineStr">
        <is>
          <t>A 58580-2018</t>
        </is>
      </c>
      <c r="B456" s="1" t="n">
        <v>43409</v>
      </c>
      <c r="C456" s="1" t="n">
        <v>45218</v>
      </c>
      <c r="D456" t="inlineStr">
        <is>
          <t>VÄSTERNORRLANDS LÄN</t>
        </is>
      </c>
      <c r="E456" t="inlineStr">
        <is>
          <t>SOLLEFTEÅ</t>
        </is>
      </c>
      <c r="G456" t="n">
        <v>3.9</v>
      </c>
      <c r="H456" t="n">
        <v>0</v>
      </c>
      <c r="I456" t="n">
        <v>0</v>
      </c>
      <c r="J456" t="n">
        <v>1</v>
      </c>
      <c r="K456" t="n">
        <v>0</v>
      </c>
      <c r="L456" t="n">
        <v>0</v>
      </c>
      <c r="M456" t="n">
        <v>0</v>
      </c>
      <c r="N456" t="n">
        <v>0</v>
      </c>
      <c r="O456" t="n">
        <v>1</v>
      </c>
      <c r="P456" t="n">
        <v>0</v>
      </c>
      <c r="Q456" t="n">
        <v>1</v>
      </c>
      <c r="R456" s="2" t="inlineStr">
        <is>
          <t>Garnlav</t>
        </is>
      </c>
      <c r="S456">
        <f>HYPERLINK("https://klasma.github.io/Logging_2283/artfynd/A 58580-2018 artfynd.xlsx", "A 58580-2018")</f>
        <v/>
      </c>
      <c r="T456">
        <f>HYPERLINK("https://klasma.github.io/Logging_2283/kartor/A 58580-2018 karta.png", "A 58580-2018")</f>
        <v/>
      </c>
      <c r="V456">
        <f>HYPERLINK("https://klasma.github.io/Logging_2283/klagomål/A 58580-2018 FSC-klagomål.docx", "A 58580-2018")</f>
        <v/>
      </c>
      <c r="W456">
        <f>HYPERLINK("https://klasma.github.io/Logging_2283/klagomålsmail/A 58580-2018 FSC-klagomål mail.docx", "A 58580-2018")</f>
        <v/>
      </c>
      <c r="X456">
        <f>HYPERLINK("https://klasma.github.io/Logging_2283/tillsyn/A 58580-2018 tillsynsbegäran.docx", "A 58580-2018")</f>
        <v/>
      </c>
      <c r="Y456">
        <f>HYPERLINK("https://klasma.github.io/Logging_2283/tillsynsmail/A 58580-2018 tillsynsbegäran mail.docx", "A 58580-2018")</f>
        <v/>
      </c>
    </row>
    <row r="457" ht="15" customHeight="1">
      <c r="A457" t="inlineStr">
        <is>
          <t>A 58559-2018</t>
        </is>
      </c>
      <c r="B457" s="1" t="n">
        <v>43409</v>
      </c>
      <c r="C457" s="1" t="n">
        <v>45218</v>
      </c>
      <c r="D457" t="inlineStr">
        <is>
          <t>VÄSTERNORRLANDS LÄN</t>
        </is>
      </c>
      <c r="E457" t="inlineStr">
        <is>
          <t>ÅNGE</t>
        </is>
      </c>
      <c r="F457" t="inlineStr">
        <is>
          <t>SCA</t>
        </is>
      </c>
      <c r="G457" t="n">
        <v>5.2</v>
      </c>
      <c r="H457" t="n">
        <v>0</v>
      </c>
      <c r="I457" t="n">
        <v>0</v>
      </c>
      <c r="J457" t="n">
        <v>1</v>
      </c>
      <c r="K457" t="n">
        <v>0</v>
      </c>
      <c r="L457" t="n">
        <v>0</v>
      </c>
      <c r="M457" t="n">
        <v>0</v>
      </c>
      <c r="N457" t="n">
        <v>0</v>
      </c>
      <c r="O457" t="n">
        <v>1</v>
      </c>
      <c r="P457" t="n">
        <v>0</v>
      </c>
      <c r="Q457" t="n">
        <v>1</v>
      </c>
      <c r="R457" s="2" t="inlineStr">
        <is>
          <t>Småflikig brosklav</t>
        </is>
      </c>
      <c r="S457">
        <f>HYPERLINK("https://klasma.github.io/Logging_2260/artfynd/A 58559-2018 artfynd.xlsx", "A 58559-2018")</f>
        <v/>
      </c>
      <c r="T457">
        <f>HYPERLINK("https://klasma.github.io/Logging_2260/kartor/A 58559-2018 karta.png", "A 58559-2018")</f>
        <v/>
      </c>
      <c r="V457">
        <f>HYPERLINK("https://klasma.github.io/Logging_2260/klagomål/A 58559-2018 FSC-klagomål.docx", "A 58559-2018")</f>
        <v/>
      </c>
      <c r="W457">
        <f>HYPERLINK("https://klasma.github.io/Logging_2260/klagomålsmail/A 58559-2018 FSC-klagomål mail.docx", "A 58559-2018")</f>
        <v/>
      </c>
      <c r="X457">
        <f>HYPERLINK("https://klasma.github.io/Logging_2260/tillsyn/A 58559-2018 tillsynsbegäran.docx", "A 58559-2018")</f>
        <v/>
      </c>
      <c r="Y457">
        <f>HYPERLINK("https://klasma.github.io/Logging_2260/tillsynsmail/A 58559-2018 tillsynsbegäran mail.docx", "A 58559-2018")</f>
        <v/>
      </c>
    </row>
    <row r="458" ht="15" customHeight="1">
      <c r="A458" t="inlineStr">
        <is>
          <t>A 60181-2018</t>
        </is>
      </c>
      <c r="B458" s="1" t="n">
        <v>43412</v>
      </c>
      <c r="C458" s="1" t="n">
        <v>45218</v>
      </c>
      <c r="D458" t="inlineStr">
        <is>
          <t>VÄSTERNORRLANDS LÄN</t>
        </is>
      </c>
      <c r="E458" t="inlineStr">
        <is>
          <t>SUNDSVALL</t>
        </is>
      </c>
      <c r="G458" t="n">
        <v>7.7</v>
      </c>
      <c r="H458" t="n">
        <v>1</v>
      </c>
      <c r="I458" t="n">
        <v>0</v>
      </c>
      <c r="J458" t="n">
        <v>1</v>
      </c>
      <c r="K458" t="n">
        <v>0</v>
      </c>
      <c r="L458" t="n">
        <v>0</v>
      </c>
      <c r="M458" t="n">
        <v>0</v>
      </c>
      <c r="N458" t="n">
        <v>0</v>
      </c>
      <c r="O458" t="n">
        <v>1</v>
      </c>
      <c r="P458" t="n">
        <v>0</v>
      </c>
      <c r="Q458" t="n">
        <v>1</v>
      </c>
      <c r="R458" s="2" t="inlineStr">
        <is>
          <t>Talltita</t>
        </is>
      </c>
      <c r="S458">
        <f>HYPERLINK("https://klasma.github.io/Logging_2281/artfynd/A 60181-2018 artfynd.xlsx", "A 60181-2018")</f>
        <v/>
      </c>
      <c r="T458">
        <f>HYPERLINK("https://klasma.github.io/Logging_2281/kartor/A 60181-2018 karta.png", "A 60181-2018")</f>
        <v/>
      </c>
      <c r="V458">
        <f>HYPERLINK("https://klasma.github.io/Logging_2281/klagomål/A 60181-2018 FSC-klagomål.docx", "A 60181-2018")</f>
        <v/>
      </c>
      <c r="W458">
        <f>HYPERLINK("https://klasma.github.io/Logging_2281/klagomålsmail/A 60181-2018 FSC-klagomål mail.docx", "A 60181-2018")</f>
        <v/>
      </c>
      <c r="X458">
        <f>HYPERLINK("https://klasma.github.io/Logging_2281/tillsyn/A 60181-2018 tillsynsbegäran.docx", "A 60181-2018")</f>
        <v/>
      </c>
      <c r="Y458">
        <f>HYPERLINK("https://klasma.github.io/Logging_2281/tillsynsmail/A 60181-2018 tillsynsbegäran mail.docx", "A 60181-2018")</f>
        <v/>
      </c>
    </row>
    <row r="459" ht="15" customHeight="1">
      <c r="A459" t="inlineStr">
        <is>
          <t>A 71019-2018</t>
        </is>
      </c>
      <c r="B459" s="1" t="n">
        <v>43451</v>
      </c>
      <c r="C459" s="1" t="n">
        <v>45218</v>
      </c>
      <c r="D459" t="inlineStr">
        <is>
          <t>VÄSTERNORRLANDS LÄN</t>
        </is>
      </c>
      <c r="E459" t="inlineStr">
        <is>
          <t>SOLLEFTEÅ</t>
        </is>
      </c>
      <c r="G459" t="n">
        <v>7.6</v>
      </c>
      <c r="H459" t="n">
        <v>0</v>
      </c>
      <c r="I459" t="n">
        <v>0</v>
      </c>
      <c r="J459" t="n">
        <v>1</v>
      </c>
      <c r="K459" t="n">
        <v>0</v>
      </c>
      <c r="L459" t="n">
        <v>0</v>
      </c>
      <c r="M459" t="n">
        <v>0</v>
      </c>
      <c r="N459" t="n">
        <v>0</v>
      </c>
      <c r="O459" t="n">
        <v>1</v>
      </c>
      <c r="P459" t="n">
        <v>0</v>
      </c>
      <c r="Q459" t="n">
        <v>1</v>
      </c>
      <c r="R459" s="2" t="inlineStr">
        <is>
          <t>Rosenticka</t>
        </is>
      </c>
      <c r="S459">
        <f>HYPERLINK("https://klasma.github.io/Logging_2283/artfynd/A 71019-2018 artfynd.xlsx", "A 71019-2018")</f>
        <v/>
      </c>
      <c r="T459">
        <f>HYPERLINK("https://klasma.github.io/Logging_2283/kartor/A 71019-2018 karta.png", "A 71019-2018")</f>
        <v/>
      </c>
      <c r="V459">
        <f>HYPERLINK("https://klasma.github.io/Logging_2283/klagomål/A 71019-2018 FSC-klagomål.docx", "A 71019-2018")</f>
        <v/>
      </c>
      <c r="W459">
        <f>HYPERLINK("https://klasma.github.io/Logging_2283/klagomålsmail/A 71019-2018 FSC-klagomål mail.docx", "A 71019-2018")</f>
        <v/>
      </c>
      <c r="X459">
        <f>HYPERLINK("https://klasma.github.io/Logging_2283/tillsyn/A 71019-2018 tillsynsbegäran.docx", "A 71019-2018")</f>
        <v/>
      </c>
      <c r="Y459">
        <f>HYPERLINK("https://klasma.github.io/Logging_2283/tillsynsmail/A 71019-2018 tillsynsbegäran mail.docx", "A 71019-2018")</f>
        <v/>
      </c>
    </row>
    <row r="460" ht="15" customHeight="1">
      <c r="A460" t="inlineStr">
        <is>
          <t>A 70806-2018</t>
        </is>
      </c>
      <c r="B460" s="1" t="n">
        <v>43451</v>
      </c>
      <c r="C460" s="1" t="n">
        <v>45218</v>
      </c>
      <c r="D460" t="inlineStr">
        <is>
          <t>VÄSTERNORRLANDS LÄN</t>
        </is>
      </c>
      <c r="E460" t="inlineStr">
        <is>
          <t>SOLLEFTEÅ</t>
        </is>
      </c>
      <c r="G460" t="n">
        <v>4.3</v>
      </c>
      <c r="H460" t="n">
        <v>0</v>
      </c>
      <c r="I460" t="n">
        <v>0</v>
      </c>
      <c r="J460" t="n">
        <v>1</v>
      </c>
      <c r="K460" t="n">
        <v>0</v>
      </c>
      <c r="L460" t="n">
        <v>0</v>
      </c>
      <c r="M460" t="n">
        <v>0</v>
      </c>
      <c r="N460" t="n">
        <v>0</v>
      </c>
      <c r="O460" t="n">
        <v>1</v>
      </c>
      <c r="P460" t="n">
        <v>0</v>
      </c>
      <c r="Q460" t="n">
        <v>1</v>
      </c>
      <c r="R460" s="2" t="inlineStr">
        <is>
          <t>Garnlav</t>
        </is>
      </c>
      <c r="S460">
        <f>HYPERLINK("https://klasma.github.io/Logging_2283/artfynd/A 70806-2018 artfynd.xlsx", "A 70806-2018")</f>
        <v/>
      </c>
      <c r="T460">
        <f>HYPERLINK("https://klasma.github.io/Logging_2283/kartor/A 70806-2018 karta.png", "A 70806-2018")</f>
        <v/>
      </c>
      <c r="V460">
        <f>HYPERLINK("https://klasma.github.io/Logging_2283/klagomål/A 70806-2018 FSC-klagomål.docx", "A 70806-2018")</f>
        <v/>
      </c>
      <c r="W460">
        <f>HYPERLINK("https://klasma.github.io/Logging_2283/klagomålsmail/A 70806-2018 FSC-klagomål mail.docx", "A 70806-2018")</f>
        <v/>
      </c>
      <c r="X460">
        <f>HYPERLINK("https://klasma.github.io/Logging_2283/tillsyn/A 70806-2018 tillsynsbegäran.docx", "A 70806-2018")</f>
        <v/>
      </c>
      <c r="Y460">
        <f>HYPERLINK("https://klasma.github.io/Logging_2283/tillsynsmail/A 70806-2018 tillsynsbegäran mail.docx", "A 70806-2018")</f>
        <v/>
      </c>
    </row>
    <row r="461" ht="15" customHeight="1">
      <c r="A461" t="inlineStr">
        <is>
          <t>A 71738-2018</t>
        </is>
      </c>
      <c r="B461" s="1" t="n">
        <v>43454</v>
      </c>
      <c r="C461" s="1" t="n">
        <v>45218</v>
      </c>
      <c r="D461" t="inlineStr">
        <is>
          <t>VÄSTERNORRLANDS LÄN</t>
        </is>
      </c>
      <c r="E461" t="inlineStr">
        <is>
          <t>ÖRNSKÖLDSVIK</t>
        </is>
      </c>
      <c r="F461" t="inlineStr">
        <is>
          <t>Holmen skog AB</t>
        </is>
      </c>
      <c r="G461" t="n">
        <v>0.1</v>
      </c>
      <c r="H461" t="n">
        <v>0</v>
      </c>
      <c r="I461" t="n">
        <v>0</v>
      </c>
      <c r="J461" t="n">
        <v>1</v>
      </c>
      <c r="K461" t="n">
        <v>0</v>
      </c>
      <c r="L461" t="n">
        <v>0</v>
      </c>
      <c r="M461" t="n">
        <v>0</v>
      </c>
      <c r="N461" t="n">
        <v>0</v>
      </c>
      <c r="O461" t="n">
        <v>1</v>
      </c>
      <c r="P461" t="n">
        <v>0</v>
      </c>
      <c r="Q461" t="n">
        <v>1</v>
      </c>
      <c r="R461" s="2" t="inlineStr">
        <is>
          <t>Dvärgbägarlav</t>
        </is>
      </c>
      <c r="S461">
        <f>HYPERLINK("https://klasma.github.io/Logging_2284/artfynd/A 71738-2018 artfynd.xlsx", "A 71738-2018")</f>
        <v/>
      </c>
      <c r="T461">
        <f>HYPERLINK("https://klasma.github.io/Logging_2284/kartor/A 71738-2018 karta.png", "A 71738-2018")</f>
        <v/>
      </c>
      <c r="V461">
        <f>HYPERLINK("https://klasma.github.io/Logging_2284/klagomål/A 71738-2018 FSC-klagomål.docx", "A 71738-2018")</f>
        <v/>
      </c>
      <c r="W461">
        <f>HYPERLINK("https://klasma.github.io/Logging_2284/klagomålsmail/A 71738-2018 FSC-klagomål mail.docx", "A 71738-2018")</f>
        <v/>
      </c>
      <c r="X461">
        <f>HYPERLINK("https://klasma.github.io/Logging_2284/tillsyn/A 71738-2018 tillsynsbegäran.docx", "A 71738-2018")</f>
        <v/>
      </c>
      <c r="Y461">
        <f>HYPERLINK("https://klasma.github.io/Logging_2284/tillsynsmail/A 71738-2018 tillsynsbegäran mail.docx", "A 71738-2018")</f>
        <v/>
      </c>
    </row>
    <row r="462" ht="15" customHeight="1">
      <c r="A462" t="inlineStr">
        <is>
          <t>A 1191-2019</t>
        </is>
      </c>
      <c r="B462" s="1" t="n">
        <v>43473</v>
      </c>
      <c r="C462" s="1" t="n">
        <v>45218</v>
      </c>
      <c r="D462" t="inlineStr">
        <is>
          <t>VÄSTERNORRLANDS LÄN</t>
        </is>
      </c>
      <c r="E462" t="inlineStr">
        <is>
          <t>SUNDSVALL</t>
        </is>
      </c>
      <c r="G462" t="n">
        <v>2</v>
      </c>
      <c r="H462" t="n">
        <v>0</v>
      </c>
      <c r="I462" t="n">
        <v>1</v>
      </c>
      <c r="J462" t="n">
        <v>0</v>
      </c>
      <c r="K462" t="n">
        <v>0</v>
      </c>
      <c r="L462" t="n">
        <v>0</v>
      </c>
      <c r="M462" t="n">
        <v>0</v>
      </c>
      <c r="N462" t="n">
        <v>0</v>
      </c>
      <c r="O462" t="n">
        <v>0</v>
      </c>
      <c r="P462" t="n">
        <v>0</v>
      </c>
      <c r="Q462" t="n">
        <v>1</v>
      </c>
      <c r="R462" s="2" t="inlineStr">
        <is>
          <t>Nästlav</t>
        </is>
      </c>
      <c r="S462">
        <f>HYPERLINK("https://klasma.github.io/Logging_2281/artfynd/A 1191-2019 artfynd.xlsx", "A 1191-2019")</f>
        <v/>
      </c>
      <c r="T462">
        <f>HYPERLINK("https://klasma.github.io/Logging_2281/kartor/A 1191-2019 karta.png", "A 1191-2019")</f>
        <v/>
      </c>
      <c r="V462">
        <f>HYPERLINK("https://klasma.github.io/Logging_2281/klagomål/A 1191-2019 FSC-klagomål.docx", "A 1191-2019")</f>
        <v/>
      </c>
      <c r="W462">
        <f>HYPERLINK("https://klasma.github.io/Logging_2281/klagomålsmail/A 1191-2019 FSC-klagomål mail.docx", "A 1191-2019")</f>
        <v/>
      </c>
      <c r="X462">
        <f>HYPERLINK("https://klasma.github.io/Logging_2281/tillsyn/A 1191-2019 tillsynsbegäran.docx", "A 1191-2019")</f>
        <v/>
      </c>
      <c r="Y462">
        <f>HYPERLINK("https://klasma.github.io/Logging_2281/tillsynsmail/A 1191-2019 tillsynsbegäran mail.docx", "A 1191-2019")</f>
        <v/>
      </c>
    </row>
    <row r="463" ht="15" customHeight="1">
      <c r="A463" t="inlineStr">
        <is>
          <t>A 4918-2019</t>
        </is>
      </c>
      <c r="B463" s="1" t="n">
        <v>43479</v>
      </c>
      <c r="C463" s="1" t="n">
        <v>45218</v>
      </c>
      <c r="D463" t="inlineStr">
        <is>
          <t>VÄSTERNORRLANDS LÄN</t>
        </is>
      </c>
      <c r="E463" t="inlineStr">
        <is>
          <t>SUNDSVALL</t>
        </is>
      </c>
      <c r="F463" t="inlineStr">
        <is>
          <t>SCA</t>
        </is>
      </c>
      <c r="G463" t="n">
        <v>62.7</v>
      </c>
      <c r="H463" t="n">
        <v>0</v>
      </c>
      <c r="I463" t="n">
        <v>0</v>
      </c>
      <c r="J463" t="n">
        <v>1</v>
      </c>
      <c r="K463" t="n">
        <v>0</v>
      </c>
      <c r="L463" t="n">
        <v>0</v>
      </c>
      <c r="M463" t="n">
        <v>0</v>
      </c>
      <c r="N463" t="n">
        <v>0</v>
      </c>
      <c r="O463" t="n">
        <v>1</v>
      </c>
      <c r="P463" t="n">
        <v>0</v>
      </c>
      <c r="Q463" t="n">
        <v>1</v>
      </c>
      <c r="R463" s="2" t="inlineStr">
        <is>
          <t>Lunglav</t>
        </is>
      </c>
      <c r="S463">
        <f>HYPERLINK("https://klasma.github.io/Logging_2281/artfynd/A 4918-2019 artfynd.xlsx", "A 4918-2019")</f>
        <v/>
      </c>
      <c r="T463">
        <f>HYPERLINK("https://klasma.github.io/Logging_2281/kartor/A 4918-2019 karta.png", "A 4918-2019")</f>
        <v/>
      </c>
      <c r="V463">
        <f>HYPERLINK("https://klasma.github.io/Logging_2281/klagomål/A 4918-2019 FSC-klagomål.docx", "A 4918-2019")</f>
        <v/>
      </c>
      <c r="W463">
        <f>HYPERLINK("https://klasma.github.io/Logging_2281/klagomålsmail/A 4918-2019 FSC-klagomål mail.docx", "A 4918-2019")</f>
        <v/>
      </c>
      <c r="X463">
        <f>HYPERLINK("https://klasma.github.io/Logging_2281/tillsyn/A 4918-2019 tillsynsbegäran.docx", "A 4918-2019")</f>
        <v/>
      </c>
      <c r="Y463">
        <f>HYPERLINK("https://klasma.github.io/Logging_2281/tillsynsmail/A 4918-2019 tillsynsbegäran mail.docx", "A 4918-2019")</f>
        <v/>
      </c>
    </row>
    <row r="464" ht="15" customHeight="1">
      <c r="A464" t="inlineStr">
        <is>
          <t>A 4951-2019</t>
        </is>
      </c>
      <c r="B464" s="1" t="n">
        <v>43479</v>
      </c>
      <c r="C464" s="1" t="n">
        <v>45218</v>
      </c>
      <c r="D464" t="inlineStr">
        <is>
          <t>VÄSTERNORRLANDS LÄN</t>
        </is>
      </c>
      <c r="E464" t="inlineStr">
        <is>
          <t>ÅNGE</t>
        </is>
      </c>
      <c r="F464" t="inlineStr">
        <is>
          <t>SCA</t>
        </is>
      </c>
      <c r="G464" t="n">
        <v>12.3</v>
      </c>
      <c r="H464" t="n">
        <v>1</v>
      </c>
      <c r="I464" t="n">
        <v>0</v>
      </c>
      <c r="J464" t="n">
        <v>1</v>
      </c>
      <c r="K464" t="n">
        <v>0</v>
      </c>
      <c r="L464" t="n">
        <v>0</v>
      </c>
      <c r="M464" t="n">
        <v>0</v>
      </c>
      <c r="N464" t="n">
        <v>0</v>
      </c>
      <c r="O464" t="n">
        <v>1</v>
      </c>
      <c r="P464" t="n">
        <v>0</v>
      </c>
      <c r="Q464" t="n">
        <v>1</v>
      </c>
      <c r="R464" s="2" t="inlineStr">
        <is>
          <t>Varglav</t>
        </is>
      </c>
      <c r="S464">
        <f>HYPERLINK("https://klasma.github.io/Logging_2260/artfynd/A 4951-2019 artfynd.xlsx", "A 4951-2019")</f>
        <v/>
      </c>
      <c r="T464">
        <f>HYPERLINK("https://klasma.github.io/Logging_2260/kartor/A 4951-2019 karta.png", "A 4951-2019")</f>
        <v/>
      </c>
      <c r="V464">
        <f>HYPERLINK("https://klasma.github.io/Logging_2260/klagomål/A 4951-2019 FSC-klagomål.docx", "A 4951-2019")</f>
        <v/>
      </c>
      <c r="W464">
        <f>HYPERLINK("https://klasma.github.io/Logging_2260/klagomålsmail/A 4951-2019 FSC-klagomål mail.docx", "A 4951-2019")</f>
        <v/>
      </c>
      <c r="X464">
        <f>HYPERLINK("https://klasma.github.io/Logging_2260/tillsyn/A 4951-2019 tillsynsbegäran.docx", "A 4951-2019")</f>
        <v/>
      </c>
      <c r="Y464">
        <f>HYPERLINK("https://klasma.github.io/Logging_2260/tillsynsmail/A 4951-2019 tillsynsbegäran mail.docx", "A 4951-2019")</f>
        <v/>
      </c>
    </row>
    <row r="465" ht="15" customHeight="1">
      <c r="A465" t="inlineStr">
        <is>
          <t>A 3779-2019</t>
        </is>
      </c>
      <c r="B465" s="1" t="n">
        <v>43481</v>
      </c>
      <c r="C465" s="1" t="n">
        <v>45218</v>
      </c>
      <c r="D465" t="inlineStr">
        <is>
          <t>VÄSTERNORRLANDS LÄN</t>
        </is>
      </c>
      <c r="E465" t="inlineStr">
        <is>
          <t>SOLLEFTEÅ</t>
        </is>
      </c>
      <c r="F465" t="inlineStr">
        <is>
          <t>SCA</t>
        </is>
      </c>
      <c r="G465" t="n">
        <v>3.3</v>
      </c>
      <c r="H465" t="n">
        <v>0</v>
      </c>
      <c r="I465" t="n">
        <v>0</v>
      </c>
      <c r="J465" t="n">
        <v>1</v>
      </c>
      <c r="K465" t="n">
        <v>0</v>
      </c>
      <c r="L465" t="n">
        <v>0</v>
      </c>
      <c r="M465" t="n">
        <v>0</v>
      </c>
      <c r="N465" t="n">
        <v>0</v>
      </c>
      <c r="O465" t="n">
        <v>1</v>
      </c>
      <c r="P465" t="n">
        <v>0</v>
      </c>
      <c r="Q465" t="n">
        <v>1</v>
      </c>
      <c r="R465" s="2" t="inlineStr">
        <is>
          <t>Ullticka</t>
        </is>
      </c>
      <c r="S465">
        <f>HYPERLINK("https://klasma.github.io/Logging_2283/artfynd/A 3779-2019 artfynd.xlsx", "A 3779-2019")</f>
        <v/>
      </c>
      <c r="T465">
        <f>HYPERLINK("https://klasma.github.io/Logging_2283/kartor/A 3779-2019 karta.png", "A 3779-2019")</f>
        <v/>
      </c>
      <c r="V465">
        <f>HYPERLINK("https://klasma.github.io/Logging_2283/klagomål/A 3779-2019 FSC-klagomål.docx", "A 3779-2019")</f>
        <v/>
      </c>
      <c r="W465">
        <f>HYPERLINK("https://klasma.github.io/Logging_2283/klagomålsmail/A 3779-2019 FSC-klagomål mail.docx", "A 3779-2019")</f>
        <v/>
      </c>
      <c r="X465">
        <f>HYPERLINK("https://klasma.github.io/Logging_2283/tillsyn/A 3779-2019 tillsynsbegäran.docx", "A 3779-2019")</f>
        <v/>
      </c>
      <c r="Y465">
        <f>HYPERLINK("https://klasma.github.io/Logging_2283/tillsynsmail/A 3779-2019 tillsynsbegäran mail.docx", "A 3779-2019")</f>
        <v/>
      </c>
    </row>
    <row r="466" ht="15" customHeight="1">
      <c r="A466" t="inlineStr">
        <is>
          <t>A 5443-2019</t>
        </is>
      </c>
      <c r="B466" s="1" t="n">
        <v>43481</v>
      </c>
      <c r="C466" s="1" t="n">
        <v>45218</v>
      </c>
      <c r="D466" t="inlineStr">
        <is>
          <t>VÄSTERNORRLANDS LÄN</t>
        </is>
      </c>
      <c r="E466" t="inlineStr">
        <is>
          <t>ÖRNSKÖLDSVIK</t>
        </is>
      </c>
      <c r="G466" t="n">
        <v>3</v>
      </c>
      <c r="H466" t="n">
        <v>0</v>
      </c>
      <c r="I466" t="n">
        <v>0</v>
      </c>
      <c r="J466" t="n">
        <v>1</v>
      </c>
      <c r="K466" t="n">
        <v>0</v>
      </c>
      <c r="L466" t="n">
        <v>0</v>
      </c>
      <c r="M466" t="n">
        <v>0</v>
      </c>
      <c r="N466" t="n">
        <v>0</v>
      </c>
      <c r="O466" t="n">
        <v>1</v>
      </c>
      <c r="P466" t="n">
        <v>0</v>
      </c>
      <c r="Q466" t="n">
        <v>1</v>
      </c>
      <c r="R466" s="2" t="inlineStr">
        <is>
          <t>Solfjäderlav</t>
        </is>
      </c>
      <c r="S466">
        <f>HYPERLINK("https://klasma.github.io/Logging_2284/artfynd/A 5443-2019 artfynd.xlsx", "A 5443-2019")</f>
        <v/>
      </c>
      <c r="T466">
        <f>HYPERLINK("https://klasma.github.io/Logging_2284/kartor/A 5443-2019 karta.png", "A 5443-2019")</f>
        <v/>
      </c>
      <c r="V466">
        <f>HYPERLINK("https://klasma.github.io/Logging_2284/klagomål/A 5443-2019 FSC-klagomål.docx", "A 5443-2019")</f>
        <v/>
      </c>
      <c r="W466">
        <f>HYPERLINK("https://klasma.github.io/Logging_2284/klagomålsmail/A 5443-2019 FSC-klagomål mail.docx", "A 5443-2019")</f>
        <v/>
      </c>
      <c r="X466">
        <f>HYPERLINK("https://klasma.github.io/Logging_2284/tillsyn/A 5443-2019 tillsynsbegäran.docx", "A 5443-2019")</f>
        <v/>
      </c>
      <c r="Y466">
        <f>HYPERLINK("https://klasma.github.io/Logging_2284/tillsynsmail/A 5443-2019 tillsynsbegäran mail.docx", "A 5443-2019")</f>
        <v/>
      </c>
    </row>
    <row r="467" ht="15" customHeight="1">
      <c r="A467" t="inlineStr">
        <is>
          <t>A 4339-2019</t>
        </is>
      </c>
      <c r="B467" s="1" t="n">
        <v>43483</v>
      </c>
      <c r="C467" s="1" t="n">
        <v>45218</v>
      </c>
      <c r="D467" t="inlineStr">
        <is>
          <t>VÄSTERNORRLANDS LÄN</t>
        </is>
      </c>
      <c r="E467" t="inlineStr">
        <is>
          <t>ÖRNSKÖLDSVIK</t>
        </is>
      </c>
      <c r="F467" t="inlineStr">
        <is>
          <t>Holmen skog AB</t>
        </is>
      </c>
      <c r="G467" t="n">
        <v>1.9</v>
      </c>
      <c r="H467" t="n">
        <v>0</v>
      </c>
      <c r="I467" t="n">
        <v>1</v>
      </c>
      <c r="J467" t="n">
        <v>0</v>
      </c>
      <c r="K467" t="n">
        <v>0</v>
      </c>
      <c r="L467" t="n">
        <v>0</v>
      </c>
      <c r="M467" t="n">
        <v>0</v>
      </c>
      <c r="N467" t="n">
        <v>0</v>
      </c>
      <c r="O467" t="n">
        <v>0</v>
      </c>
      <c r="P467" t="n">
        <v>0</v>
      </c>
      <c r="Q467" t="n">
        <v>1</v>
      </c>
      <c r="R467" s="2" t="inlineStr">
        <is>
          <t>Dropptaggsvamp</t>
        </is>
      </c>
      <c r="S467">
        <f>HYPERLINK("https://klasma.github.io/Logging_2284/artfynd/A 4339-2019 artfynd.xlsx", "A 4339-2019")</f>
        <v/>
      </c>
      <c r="T467">
        <f>HYPERLINK("https://klasma.github.io/Logging_2284/kartor/A 4339-2019 karta.png", "A 4339-2019")</f>
        <v/>
      </c>
      <c r="V467">
        <f>HYPERLINK("https://klasma.github.io/Logging_2284/klagomål/A 4339-2019 FSC-klagomål.docx", "A 4339-2019")</f>
        <v/>
      </c>
      <c r="W467">
        <f>HYPERLINK("https://klasma.github.io/Logging_2284/klagomålsmail/A 4339-2019 FSC-klagomål mail.docx", "A 4339-2019")</f>
        <v/>
      </c>
      <c r="X467">
        <f>HYPERLINK("https://klasma.github.io/Logging_2284/tillsyn/A 4339-2019 tillsynsbegäran.docx", "A 4339-2019")</f>
        <v/>
      </c>
      <c r="Y467">
        <f>HYPERLINK("https://klasma.github.io/Logging_2284/tillsynsmail/A 4339-2019 tillsynsbegäran mail.docx", "A 4339-2019")</f>
        <v/>
      </c>
    </row>
    <row r="468" ht="15" customHeight="1">
      <c r="A468" t="inlineStr">
        <is>
          <t>A 8476-2019</t>
        </is>
      </c>
      <c r="B468" s="1" t="n">
        <v>43497</v>
      </c>
      <c r="C468" s="1" t="n">
        <v>45218</v>
      </c>
      <c r="D468" t="inlineStr">
        <is>
          <t>VÄSTERNORRLANDS LÄN</t>
        </is>
      </c>
      <c r="E468" t="inlineStr">
        <is>
          <t>SOLLEFTEÅ</t>
        </is>
      </c>
      <c r="G468" t="n">
        <v>5</v>
      </c>
      <c r="H468" t="n">
        <v>0</v>
      </c>
      <c r="I468" t="n">
        <v>0</v>
      </c>
      <c r="J468" t="n">
        <v>1</v>
      </c>
      <c r="K468" t="n">
        <v>0</v>
      </c>
      <c r="L468" t="n">
        <v>0</v>
      </c>
      <c r="M468" t="n">
        <v>0</v>
      </c>
      <c r="N468" t="n">
        <v>0</v>
      </c>
      <c r="O468" t="n">
        <v>1</v>
      </c>
      <c r="P468" t="n">
        <v>0</v>
      </c>
      <c r="Q468" t="n">
        <v>1</v>
      </c>
      <c r="R468" s="2" t="inlineStr">
        <is>
          <t>Ullticka</t>
        </is>
      </c>
      <c r="S468">
        <f>HYPERLINK("https://klasma.github.io/Logging_2283/artfynd/A 8476-2019 artfynd.xlsx", "A 8476-2019")</f>
        <v/>
      </c>
      <c r="T468">
        <f>HYPERLINK("https://klasma.github.io/Logging_2283/kartor/A 8476-2019 karta.png", "A 8476-2019")</f>
        <v/>
      </c>
      <c r="V468">
        <f>HYPERLINK("https://klasma.github.io/Logging_2283/klagomål/A 8476-2019 FSC-klagomål.docx", "A 8476-2019")</f>
        <v/>
      </c>
      <c r="W468">
        <f>HYPERLINK("https://klasma.github.io/Logging_2283/klagomålsmail/A 8476-2019 FSC-klagomål mail.docx", "A 8476-2019")</f>
        <v/>
      </c>
      <c r="X468">
        <f>HYPERLINK("https://klasma.github.io/Logging_2283/tillsyn/A 8476-2019 tillsynsbegäran.docx", "A 8476-2019")</f>
        <v/>
      </c>
      <c r="Y468">
        <f>HYPERLINK("https://klasma.github.io/Logging_2283/tillsynsmail/A 8476-2019 tillsynsbegäran mail.docx", "A 8476-2019")</f>
        <v/>
      </c>
    </row>
    <row r="469" ht="15" customHeight="1">
      <c r="A469" t="inlineStr">
        <is>
          <t>A 16838-2019</t>
        </is>
      </c>
      <c r="B469" s="1" t="n">
        <v>43549</v>
      </c>
      <c r="C469" s="1" t="n">
        <v>45218</v>
      </c>
      <c r="D469" t="inlineStr">
        <is>
          <t>VÄSTERNORRLANDS LÄN</t>
        </is>
      </c>
      <c r="E469" t="inlineStr">
        <is>
          <t>SOLLEFTEÅ</t>
        </is>
      </c>
      <c r="F469" t="inlineStr">
        <is>
          <t>SCA</t>
        </is>
      </c>
      <c r="G469" t="n">
        <v>16.4</v>
      </c>
      <c r="H469" t="n">
        <v>1</v>
      </c>
      <c r="I469" t="n">
        <v>0</v>
      </c>
      <c r="J469" t="n">
        <v>0</v>
      </c>
      <c r="K469" t="n">
        <v>0</v>
      </c>
      <c r="L469" t="n">
        <v>0</v>
      </c>
      <c r="M469" t="n">
        <v>1</v>
      </c>
      <c r="N469" t="n">
        <v>0</v>
      </c>
      <c r="O469" t="n">
        <v>1</v>
      </c>
      <c r="P469" t="n">
        <v>1</v>
      </c>
      <c r="Q469" t="n">
        <v>1</v>
      </c>
      <c r="R469" s="2" t="inlineStr">
        <is>
          <t>Ortolansparv</t>
        </is>
      </c>
      <c r="S469">
        <f>HYPERLINK("https://klasma.github.io/Logging_2283/artfynd/A 16838-2019 artfynd.xlsx", "A 16838-2019")</f>
        <v/>
      </c>
      <c r="T469">
        <f>HYPERLINK("https://klasma.github.io/Logging_2283/kartor/A 16838-2019 karta.png", "A 16838-2019")</f>
        <v/>
      </c>
      <c r="V469">
        <f>HYPERLINK("https://klasma.github.io/Logging_2283/klagomål/A 16838-2019 FSC-klagomål.docx", "A 16838-2019")</f>
        <v/>
      </c>
      <c r="W469">
        <f>HYPERLINK("https://klasma.github.io/Logging_2283/klagomålsmail/A 16838-2019 FSC-klagomål mail.docx", "A 16838-2019")</f>
        <v/>
      </c>
      <c r="X469">
        <f>HYPERLINK("https://klasma.github.io/Logging_2283/tillsyn/A 16838-2019 tillsynsbegäran.docx", "A 16838-2019")</f>
        <v/>
      </c>
      <c r="Y469">
        <f>HYPERLINK("https://klasma.github.io/Logging_2283/tillsynsmail/A 16838-2019 tillsynsbegäran mail.docx", "A 16838-2019")</f>
        <v/>
      </c>
    </row>
    <row r="470" ht="15" customHeight="1">
      <c r="A470" t="inlineStr">
        <is>
          <t>A 16852-2019</t>
        </is>
      </c>
      <c r="B470" s="1" t="n">
        <v>43549</v>
      </c>
      <c r="C470" s="1" t="n">
        <v>45218</v>
      </c>
      <c r="D470" t="inlineStr">
        <is>
          <t>VÄSTERNORRLANDS LÄN</t>
        </is>
      </c>
      <c r="E470" t="inlineStr">
        <is>
          <t>TIMRÅ</t>
        </is>
      </c>
      <c r="G470" t="n">
        <v>1.7</v>
      </c>
      <c r="H470" t="n">
        <v>1</v>
      </c>
      <c r="I470" t="n">
        <v>0</v>
      </c>
      <c r="J470" t="n">
        <v>1</v>
      </c>
      <c r="K470" t="n">
        <v>0</v>
      </c>
      <c r="L470" t="n">
        <v>0</v>
      </c>
      <c r="M470" t="n">
        <v>0</v>
      </c>
      <c r="N470" t="n">
        <v>0</v>
      </c>
      <c r="O470" t="n">
        <v>1</v>
      </c>
      <c r="P470" t="n">
        <v>0</v>
      </c>
      <c r="Q470" t="n">
        <v>1</v>
      </c>
      <c r="R470" s="2" t="inlineStr">
        <is>
          <t>Grönsångare</t>
        </is>
      </c>
      <c r="S470">
        <f>HYPERLINK("https://klasma.github.io/Logging_2262/artfynd/A 16852-2019 artfynd.xlsx", "A 16852-2019")</f>
        <v/>
      </c>
      <c r="T470">
        <f>HYPERLINK("https://klasma.github.io/Logging_2262/kartor/A 16852-2019 karta.png", "A 16852-2019")</f>
        <v/>
      </c>
      <c r="V470">
        <f>HYPERLINK("https://klasma.github.io/Logging_2262/klagomål/A 16852-2019 FSC-klagomål.docx", "A 16852-2019")</f>
        <v/>
      </c>
      <c r="W470">
        <f>HYPERLINK("https://klasma.github.io/Logging_2262/klagomålsmail/A 16852-2019 FSC-klagomål mail.docx", "A 16852-2019")</f>
        <v/>
      </c>
      <c r="X470">
        <f>HYPERLINK("https://klasma.github.io/Logging_2262/tillsyn/A 16852-2019 tillsynsbegäran.docx", "A 16852-2019")</f>
        <v/>
      </c>
      <c r="Y470">
        <f>HYPERLINK("https://klasma.github.io/Logging_2262/tillsynsmail/A 16852-2019 tillsynsbegäran mail.docx", "A 16852-2019")</f>
        <v/>
      </c>
    </row>
    <row r="471" ht="15" customHeight="1">
      <c r="A471" t="inlineStr">
        <is>
          <t>A 16858-2019</t>
        </is>
      </c>
      <c r="B471" s="1" t="n">
        <v>43549</v>
      </c>
      <c r="C471" s="1" t="n">
        <v>45218</v>
      </c>
      <c r="D471" t="inlineStr">
        <is>
          <t>VÄSTERNORRLANDS LÄN</t>
        </is>
      </c>
      <c r="E471" t="inlineStr">
        <is>
          <t>TIMRÅ</t>
        </is>
      </c>
      <c r="G471" t="n">
        <v>3.2</v>
      </c>
      <c r="H471" t="n">
        <v>0</v>
      </c>
      <c r="I471" t="n">
        <v>0</v>
      </c>
      <c r="J471" t="n">
        <v>1</v>
      </c>
      <c r="K471" t="n">
        <v>0</v>
      </c>
      <c r="L471" t="n">
        <v>0</v>
      </c>
      <c r="M471" t="n">
        <v>0</v>
      </c>
      <c r="N471" t="n">
        <v>0</v>
      </c>
      <c r="O471" t="n">
        <v>1</v>
      </c>
      <c r="P471" t="n">
        <v>0</v>
      </c>
      <c r="Q471" t="n">
        <v>1</v>
      </c>
      <c r="R471" s="2" t="inlineStr">
        <is>
          <t>Violettgrå tagellav</t>
        </is>
      </c>
      <c r="S471">
        <f>HYPERLINK("https://klasma.github.io/Logging_2262/artfynd/A 16858-2019 artfynd.xlsx", "A 16858-2019")</f>
        <v/>
      </c>
      <c r="T471">
        <f>HYPERLINK("https://klasma.github.io/Logging_2262/kartor/A 16858-2019 karta.png", "A 16858-2019")</f>
        <v/>
      </c>
      <c r="V471">
        <f>HYPERLINK("https://klasma.github.io/Logging_2262/klagomål/A 16858-2019 FSC-klagomål.docx", "A 16858-2019")</f>
        <v/>
      </c>
      <c r="W471">
        <f>HYPERLINK("https://klasma.github.io/Logging_2262/klagomålsmail/A 16858-2019 FSC-klagomål mail.docx", "A 16858-2019")</f>
        <v/>
      </c>
      <c r="X471">
        <f>HYPERLINK("https://klasma.github.io/Logging_2262/tillsyn/A 16858-2019 tillsynsbegäran.docx", "A 16858-2019")</f>
        <v/>
      </c>
      <c r="Y471">
        <f>HYPERLINK("https://klasma.github.io/Logging_2262/tillsynsmail/A 16858-2019 tillsynsbegäran mail.docx", "A 16858-2019")</f>
        <v/>
      </c>
    </row>
    <row r="472" ht="15" customHeight="1">
      <c r="A472" t="inlineStr">
        <is>
          <t>A 16864-2019</t>
        </is>
      </c>
      <c r="B472" s="1" t="n">
        <v>43549</v>
      </c>
      <c r="C472" s="1" t="n">
        <v>45218</v>
      </c>
      <c r="D472" t="inlineStr">
        <is>
          <t>VÄSTERNORRLANDS LÄN</t>
        </is>
      </c>
      <c r="E472" t="inlineStr">
        <is>
          <t>ÅNGE</t>
        </is>
      </c>
      <c r="F472" t="inlineStr">
        <is>
          <t>SCA</t>
        </is>
      </c>
      <c r="G472" t="n">
        <v>4.2</v>
      </c>
      <c r="H472" t="n">
        <v>0</v>
      </c>
      <c r="I472" t="n">
        <v>1</v>
      </c>
      <c r="J472" t="n">
        <v>0</v>
      </c>
      <c r="K472" t="n">
        <v>0</v>
      </c>
      <c r="L472" t="n">
        <v>0</v>
      </c>
      <c r="M472" t="n">
        <v>0</v>
      </c>
      <c r="N472" t="n">
        <v>0</v>
      </c>
      <c r="O472" t="n">
        <v>0</v>
      </c>
      <c r="P472" t="n">
        <v>0</v>
      </c>
      <c r="Q472" t="n">
        <v>1</v>
      </c>
      <c r="R472" s="2" t="inlineStr">
        <is>
          <t>Ögonpyrola</t>
        </is>
      </c>
      <c r="S472">
        <f>HYPERLINK("https://klasma.github.io/Logging_2260/artfynd/A 16864-2019 artfynd.xlsx", "A 16864-2019")</f>
        <v/>
      </c>
      <c r="T472">
        <f>HYPERLINK("https://klasma.github.io/Logging_2260/kartor/A 16864-2019 karta.png", "A 16864-2019")</f>
        <v/>
      </c>
      <c r="V472">
        <f>HYPERLINK("https://klasma.github.io/Logging_2260/klagomål/A 16864-2019 FSC-klagomål.docx", "A 16864-2019")</f>
        <v/>
      </c>
      <c r="W472">
        <f>HYPERLINK("https://klasma.github.io/Logging_2260/klagomålsmail/A 16864-2019 FSC-klagomål mail.docx", "A 16864-2019")</f>
        <v/>
      </c>
      <c r="X472">
        <f>HYPERLINK("https://klasma.github.io/Logging_2260/tillsyn/A 16864-2019 tillsynsbegäran.docx", "A 16864-2019")</f>
        <v/>
      </c>
      <c r="Y472">
        <f>HYPERLINK("https://klasma.github.io/Logging_2260/tillsynsmail/A 16864-2019 tillsynsbegäran mail.docx", "A 16864-2019")</f>
        <v/>
      </c>
    </row>
    <row r="473" ht="15" customHeight="1">
      <c r="A473" t="inlineStr">
        <is>
          <t>A 21120-2019</t>
        </is>
      </c>
      <c r="B473" s="1" t="n">
        <v>43578</v>
      </c>
      <c r="C473" s="1" t="n">
        <v>45218</v>
      </c>
      <c r="D473" t="inlineStr">
        <is>
          <t>VÄSTERNORRLANDS LÄN</t>
        </is>
      </c>
      <c r="E473" t="inlineStr">
        <is>
          <t>SOLLEFTEÅ</t>
        </is>
      </c>
      <c r="F473" t="inlineStr">
        <is>
          <t>SCA</t>
        </is>
      </c>
      <c r="G473" t="n">
        <v>54.4</v>
      </c>
      <c r="H473" t="n">
        <v>1</v>
      </c>
      <c r="I473" t="n">
        <v>0</v>
      </c>
      <c r="J473" t="n">
        <v>0</v>
      </c>
      <c r="K473" t="n">
        <v>0</v>
      </c>
      <c r="L473" t="n">
        <v>0</v>
      </c>
      <c r="M473" t="n">
        <v>0</v>
      </c>
      <c r="N473" t="n">
        <v>0</v>
      </c>
      <c r="O473" t="n">
        <v>0</v>
      </c>
      <c r="P473" t="n">
        <v>0</v>
      </c>
      <c r="Q473" t="n">
        <v>1</v>
      </c>
      <c r="R473" s="2" t="inlineStr">
        <is>
          <t>Revlummer</t>
        </is>
      </c>
      <c r="S473">
        <f>HYPERLINK("https://klasma.github.io/Logging_2283/artfynd/A 21120-2019 artfynd.xlsx", "A 21120-2019")</f>
        <v/>
      </c>
      <c r="T473">
        <f>HYPERLINK("https://klasma.github.io/Logging_2283/kartor/A 21120-2019 karta.png", "A 21120-2019")</f>
        <v/>
      </c>
      <c r="V473">
        <f>HYPERLINK("https://klasma.github.io/Logging_2283/klagomål/A 21120-2019 FSC-klagomål.docx", "A 21120-2019")</f>
        <v/>
      </c>
      <c r="W473">
        <f>HYPERLINK("https://klasma.github.io/Logging_2283/klagomålsmail/A 21120-2019 FSC-klagomål mail.docx", "A 21120-2019")</f>
        <v/>
      </c>
      <c r="X473">
        <f>HYPERLINK("https://klasma.github.io/Logging_2283/tillsyn/A 21120-2019 tillsynsbegäran.docx", "A 21120-2019")</f>
        <v/>
      </c>
      <c r="Y473">
        <f>HYPERLINK("https://klasma.github.io/Logging_2283/tillsynsmail/A 21120-2019 tillsynsbegäran mail.docx", "A 21120-2019")</f>
        <v/>
      </c>
    </row>
    <row r="474" ht="15" customHeight="1">
      <c r="A474" t="inlineStr">
        <is>
          <t>A 27216-2019</t>
        </is>
      </c>
      <c r="B474" s="1" t="n">
        <v>43614</v>
      </c>
      <c r="C474" s="1" t="n">
        <v>45218</v>
      </c>
      <c r="D474" t="inlineStr">
        <is>
          <t>VÄSTERNORRLANDS LÄN</t>
        </is>
      </c>
      <c r="E474" t="inlineStr">
        <is>
          <t>SUNDSVALL</t>
        </is>
      </c>
      <c r="G474" t="n">
        <v>3.7</v>
      </c>
      <c r="H474" t="n">
        <v>1</v>
      </c>
      <c r="I474" t="n">
        <v>0</v>
      </c>
      <c r="J474" t="n">
        <v>0</v>
      </c>
      <c r="K474" t="n">
        <v>0</v>
      </c>
      <c r="L474" t="n">
        <v>0</v>
      </c>
      <c r="M474" t="n">
        <v>0</v>
      </c>
      <c r="N474" t="n">
        <v>0</v>
      </c>
      <c r="O474" t="n">
        <v>0</v>
      </c>
      <c r="P474" t="n">
        <v>0</v>
      </c>
      <c r="Q474" t="n">
        <v>1</v>
      </c>
      <c r="R474" s="2" t="inlineStr">
        <is>
          <t>Blåsippa</t>
        </is>
      </c>
      <c r="S474">
        <f>HYPERLINK("https://klasma.github.io/Logging_2281/artfynd/A 27216-2019 artfynd.xlsx", "A 27216-2019")</f>
        <v/>
      </c>
      <c r="T474">
        <f>HYPERLINK("https://klasma.github.io/Logging_2281/kartor/A 27216-2019 karta.png", "A 27216-2019")</f>
        <v/>
      </c>
      <c r="V474">
        <f>HYPERLINK("https://klasma.github.io/Logging_2281/klagomål/A 27216-2019 FSC-klagomål.docx", "A 27216-2019")</f>
        <v/>
      </c>
      <c r="W474">
        <f>HYPERLINK("https://klasma.github.io/Logging_2281/klagomålsmail/A 27216-2019 FSC-klagomål mail.docx", "A 27216-2019")</f>
        <v/>
      </c>
      <c r="X474">
        <f>HYPERLINK("https://klasma.github.io/Logging_2281/tillsyn/A 27216-2019 tillsynsbegäran.docx", "A 27216-2019")</f>
        <v/>
      </c>
      <c r="Y474">
        <f>HYPERLINK("https://klasma.github.io/Logging_2281/tillsynsmail/A 27216-2019 tillsynsbegäran mail.docx", "A 27216-2019")</f>
        <v/>
      </c>
    </row>
    <row r="475" ht="15" customHeight="1">
      <c r="A475" t="inlineStr">
        <is>
          <t>A 28600-2019</t>
        </is>
      </c>
      <c r="B475" s="1" t="n">
        <v>43626</v>
      </c>
      <c r="C475" s="1" t="n">
        <v>45218</v>
      </c>
      <c r="D475" t="inlineStr">
        <is>
          <t>VÄSTERNORRLANDS LÄN</t>
        </is>
      </c>
      <c r="E475" t="inlineStr">
        <is>
          <t>SOLLEFTEÅ</t>
        </is>
      </c>
      <c r="F475" t="inlineStr">
        <is>
          <t>SCA</t>
        </is>
      </c>
      <c r="G475" t="n">
        <v>5.9</v>
      </c>
      <c r="H475" t="n">
        <v>0</v>
      </c>
      <c r="I475" t="n">
        <v>0</v>
      </c>
      <c r="J475" t="n">
        <v>1</v>
      </c>
      <c r="K475" t="n">
        <v>0</v>
      </c>
      <c r="L475" t="n">
        <v>0</v>
      </c>
      <c r="M475" t="n">
        <v>0</v>
      </c>
      <c r="N475" t="n">
        <v>0</v>
      </c>
      <c r="O475" t="n">
        <v>1</v>
      </c>
      <c r="P475" t="n">
        <v>0</v>
      </c>
      <c r="Q475" t="n">
        <v>1</v>
      </c>
      <c r="R475" s="2" t="inlineStr">
        <is>
          <t>Tallriska</t>
        </is>
      </c>
      <c r="S475">
        <f>HYPERLINK("https://klasma.github.io/Logging_2283/artfynd/A 28600-2019 artfynd.xlsx", "A 28600-2019")</f>
        <v/>
      </c>
      <c r="T475">
        <f>HYPERLINK("https://klasma.github.io/Logging_2283/kartor/A 28600-2019 karta.png", "A 28600-2019")</f>
        <v/>
      </c>
      <c r="V475">
        <f>HYPERLINK("https://klasma.github.io/Logging_2283/klagomål/A 28600-2019 FSC-klagomål.docx", "A 28600-2019")</f>
        <v/>
      </c>
      <c r="W475">
        <f>HYPERLINK("https://klasma.github.io/Logging_2283/klagomålsmail/A 28600-2019 FSC-klagomål mail.docx", "A 28600-2019")</f>
        <v/>
      </c>
      <c r="X475">
        <f>HYPERLINK("https://klasma.github.io/Logging_2283/tillsyn/A 28600-2019 tillsynsbegäran.docx", "A 28600-2019")</f>
        <v/>
      </c>
      <c r="Y475">
        <f>HYPERLINK("https://klasma.github.io/Logging_2283/tillsynsmail/A 28600-2019 tillsynsbegäran mail.docx", "A 28600-2019")</f>
        <v/>
      </c>
    </row>
    <row r="476" ht="15" customHeight="1">
      <c r="A476" t="inlineStr">
        <is>
          <t>A 36982-2019</t>
        </is>
      </c>
      <c r="B476" s="1" t="n">
        <v>43676</v>
      </c>
      <c r="C476" s="1" t="n">
        <v>45218</v>
      </c>
      <c r="D476" t="inlineStr">
        <is>
          <t>VÄSTERNORRLANDS LÄN</t>
        </is>
      </c>
      <c r="E476" t="inlineStr">
        <is>
          <t>SOLLEFTEÅ</t>
        </is>
      </c>
      <c r="G476" t="n">
        <v>1.2</v>
      </c>
      <c r="H476" t="n">
        <v>0</v>
      </c>
      <c r="I476" t="n">
        <v>1</v>
      </c>
      <c r="J476" t="n">
        <v>0</v>
      </c>
      <c r="K476" t="n">
        <v>0</v>
      </c>
      <c r="L476" t="n">
        <v>0</v>
      </c>
      <c r="M476" t="n">
        <v>0</v>
      </c>
      <c r="N476" t="n">
        <v>0</v>
      </c>
      <c r="O476" t="n">
        <v>0</v>
      </c>
      <c r="P476" t="n">
        <v>0</v>
      </c>
      <c r="Q476" t="n">
        <v>1</v>
      </c>
      <c r="R476" s="2" t="inlineStr">
        <is>
          <t>Trådticka</t>
        </is>
      </c>
      <c r="S476">
        <f>HYPERLINK("https://klasma.github.io/Logging_2283/artfynd/A 36982-2019 artfynd.xlsx", "A 36982-2019")</f>
        <v/>
      </c>
      <c r="T476">
        <f>HYPERLINK("https://klasma.github.io/Logging_2283/kartor/A 36982-2019 karta.png", "A 36982-2019")</f>
        <v/>
      </c>
      <c r="V476">
        <f>HYPERLINK("https://klasma.github.io/Logging_2283/klagomål/A 36982-2019 FSC-klagomål.docx", "A 36982-2019")</f>
        <v/>
      </c>
      <c r="W476">
        <f>HYPERLINK("https://klasma.github.io/Logging_2283/klagomålsmail/A 36982-2019 FSC-klagomål mail.docx", "A 36982-2019")</f>
        <v/>
      </c>
      <c r="X476">
        <f>HYPERLINK("https://klasma.github.io/Logging_2283/tillsyn/A 36982-2019 tillsynsbegäran.docx", "A 36982-2019")</f>
        <v/>
      </c>
      <c r="Y476">
        <f>HYPERLINK("https://klasma.github.io/Logging_2283/tillsynsmail/A 36982-2019 tillsynsbegäran mail.docx", "A 36982-2019")</f>
        <v/>
      </c>
    </row>
    <row r="477" ht="15" customHeight="1">
      <c r="A477" t="inlineStr">
        <is>
          <t>A 38091-2019</t>
        </is>
      </c>
      <c r="B477" s="1" t="n">
        <v>43682</v>
      </c>
      <c r="C477" s="1" t="n">
        <v>45218</v>
      </c>
      <c r="D477" t="inlineStr">
        <is>
          <t>VÄSTERNORRLANDS LÄN</t>
        </is>
      </c>
      <c r="E477" t="inlineStr">
        <is>
          <t>SOLLEFTEÅ</t>
        </is>
      </c>
      <c r="F477" t="inlineStr">
        <is>
          <t>Holmen skog AB</t>
        </is>
      </c>
      <c r="G477" t="n">
        <v>4.7</v>
      </c>
      <c r="H477" t="n">
        <v>1</v>
      </c>
      <c r="I477" t="n">
        <v>0</v>
      </c>
      <c r="J477" t="n">
        <v>1</v>
      </c>
      <c r="K477" t="n">
        <v>0</v>
      </c>
      <c r="L477" t="n">
        <v>0</v>
      </c>
      <c r="M477" t="n">
        <v>0</v>
      </c>
      <c r="N477" t="n">
        <v>0</v>
      </c>
      <c r="O477" t="n">
        <v>1</v>
      </c>
      <c r="P477" t="n">
        <v>0</v>
      </c>
      <c r="Q477" t="n">
        <v>1</v>
      </c>
      <c r="R477" s="2" t="inlineStr">
        <is>
          <t>Tretåig hackspett</t>
        </is>
      </c>
      <c r="S477">
        <f>HYPERLINK("https://klasma.github.io/Logging_2283/artfynd/A 38091-2019 artfynd.xlsx", "A 38091-2019")</f>
        <v/>
      </c>
      <c r="T477">
        <f>HYPERLINK("https://klasma.github.io/Logging_2283/kartor/A 38091-2019 karta.png", "A 38091-2019")</f>
        <v/>
      </c>
      <c r="V477">
        <f>HYPERLINK("https://klasma.github.io/Logging_2283/klagomål/A 38091-2019 FSC-klagomål.docx", "A 38091-2019")</f>
        <v/>
      </c>
      <c r="W477">
        <f>HYPERLINK("https://klasma.github.io/Logging_2283/klagomålsmail/A 38091-2019 FSC-klagomål mail.docx", "A 38091-2019")</f>
        <v/>
      </c>
      <c r="X477">
        <f>HYPERLINK("https://klasma.github.io/Logging_2283/tillsyn/A 38091-2019 tillsynsbegäran.docx", "A 38091-2019")</f>
        <v/>
      </c>
      <c r="Y477">
        <f>HYPERLINK("https://klasma.github.io/Logging_2283/tillsynsmail/A 38091-2019 tillsynsbegäran mail.docx", "A 38091-2019")</f>
        <v/>
      </c>
    </row>
    <row r="478" ht="15" customHeight="1">
      <c r="A478" t="inlineStr">
        <is>
          <t>A 44607-2019</t>
        </is>
      </c>
      <c r="B478" s="1" t="n">
        <v>43711</v>
      </c>
      <c r="C478" s="1" t="n">
        <v>45218</v>
      </c>
      <c r="D478" t="inlineStr">
        <is>
          <t>VÄSTERNORRLANDS LÄN</t>
        </is>
      </c>
      <c r="E478" t="inlineStr">
        <is>
          <t>SUNDSVALL</t>
        </is>
      </c>
      <c r="G478" t="n">
        <v>1.6</v>
      </c>
      <c r="H478" t="n">
        <v>1</v>
      </c>
      <c r="I478" t="n">
        <v>0</v>
      </c>
      <c r="J478" t="n">
        <v>1</v>
      </c>
      <c r="K478" t="n">
        <v>0</v>
      </c>
      <c r="L478" t="n">
        <v>0</v>
      </c>
      <c r="M478" t="n">
        <v>0</v>
      </c>
      <c r="N478" t="n">
        <v>0</v>
      </c>
      <c r="O478" t="n">
        <v>1</v>
      </c>
      <c r="P478" t="n">
        <v>0</v>
      </c>
      <c r="Q478" t="n">
        <v>1</v>
      </c>
      <c r="R478" s="2" t="inlineStr">
        <is>
          <t>Järpe</t>
        </is>
      </c>
      <c r="S478">
        <f>HYPERLINK("https://klasma.github.io/Logging_2281/artfynd/A 44607-2019 artfynd.xlsx", "A 44607-2019")</f>
        <v/>
      </c>
      <c r="T478">
        <f>HYPERLINK("https://klasma.github.io/Logging_2281/kartor/A 44607-2019 karta.png", "A 44607-2019")</f>
        <v/>
      </c>
      <c r="V478">
        <f>HYPERLINK("https://klasma.github.io/Logging_2281/klagomål/A 44607-2019 FSC-klagomål.docx", "A 44607-2019")</f>
        <v/>
      </c>
      <c r="W478">
        <f>HYPERLINK("https://klasma.github.io/Logging_2281/klagomålsmail/A 44607-2019 FSC-klagomål mail.docx", "A 44607-2019")</f>
        <v/>
      </c>
      <c r="X478">
        <f>HYPERLINK("https://klasma.github.io/Logging_2281/tillsyn/A 44607-2019 tillsynsbegäran.docx", "A 44607-2019")</f>
        <v/>
      </c>
      <c r="Y478">
        <f>HYPERLINK("https://klasma.github.io/Logging_2281/tillsynsmail/A 44607-2019 tillsynsbegäran mail.docx", "A 44607-2019")</f>
        <v/>
      </c>
    </row>
    <row r="479" ht="15" customHeight="1">
      <c r="A479" t="inlineStr">
        <is>
          <t>A 44732-2019</t>
        </is>
      </c>
      <c r="B479" s="1" t="n">
        <v>43712</v>
      </c>
      <c r="C479" s="1" t="n">
        <v>45218</v>
      </c>
      <c r="D479" t="inlineStr">
        <is>
          <t>VÄSTERNORRLANDS LÄN</t>
        </is>
      </c>
      <c r="E479" t="inlineStr">
        <is>
          <t>ÖRNSKÖLDSVIK</t>
        </is>
      </c>
      <c r="F479" t="inlineStr">
        <is>
          <t>Holmen skog AB</t>
        </is>
      </c>
      <c r="G479" t="n">
        <v>0.5</v>
      </c>
      <c r="H479" t="n">
        <v>0</v>
      </c>
      <c r="I479" t="n">
        <v>0</v>
      </c>
      <c r="J479" t="n">
        <v>1</v>
      </c>
      <c r="K479" t="n">
        <v>0</v>
      </c>
      <c r="L479" t="n">
        <v>0</v>
      </c>
      <c r="M479" t="n">
        <v>0</v>
      </c>
      <c r="N479" t="n">
        <v>0</v>
      </c>
      <c r="O479" t="n">
        <v>1</v>
      </c>
      <c r="P479" t="n">
        <v>0</v>
      </c>
      <c r="Q479" t="n">
        <v>1</v>
      </c>
      <c r="R479" s="2" t="inlineStr">
        <is>
          <t>Ullticka</t>
        </is>
      </c>
      <c r="S479">
        <f>HYPERLINK("https://klasma.github.io/Logging_2284/artfynd/A 44732-2019 artfynd.xlsx", "A 44732-2019")</f>
        <v/>
      </c>
      <c r="T479">
        <f>HYPERLINK("https://klasma.github.io/Logging_2284/kartor/A 44732-2019 karta.png", "A 44732-2019")</f>
        <v/>
      </c>
      <c r="V479">
        <f>HYPERLINK("https://klasma.github.io/Logging_2284/klagomål/A 44732-2019 FSC-klagomål.docx", "A 44732-2019")</f>
        <v/>
      </c>
      <c r="W479">
        <f>HYPERLINK("https://klasma.github.io/Logging_2284/klagomålsmail/A 44732-2019 FSC-klagomål mail.docx", "A 44732-2019")</f>
        <v/>
      </c>
      <c r="X479">
        <f>HYPERLINK("https://klasma.github.io/Logging_2284/tillsyn/A 44732-2019 tillsynsbegäran.docx", "A 44732-2019")</f>
        <v/>
      </c>
      <c r="Y479">
        <f>HYPERLINK("https://klasma.github.io/Logging_2284/tillsynsmail/A 44732-2019 tillsynsbegäran mail.docx", "A 44732-2019")</f>
        <v/>
      </c>
    </row>
    <row r="480" ht="15" customHeight="1">
      <c r="A480" t="inlineStr">
        <is>
          <t>A 51669-2019</t>
        </is>
      </c>
      <c r="B480" s="1" t="n">
        <v>43740</v>
      </c>
      <c r="C480" s="1" t="n">
        <v>45218</v>
      </c>
      <c r="D480" t="inlineStr">
        <is>
          <t>VÄSTERNORRLANDS LÄN</t>
        </is>
      </c>
      <c r="E480" t="inlineStr">
        <is>
          <t>SOLLEFTEÅ</t>
        </is>
      </c>
      <c r="F480" t="inlineStr">
        <is>
          <t>SCA</t>
        </is>
      </c>
      <c r="G480" t="n">
        <v>3.6</v>
      </c>
      <c r="H480" t="n">
        <v>0</v>
      </c>
      <c r="I480" t="n">
        <v>0</v>
      </c>
      <c r="J480" t="n">
        <v>1</v>
      </c>
      <c r="K480" t="n">
        <v>0</v>
      </c>
      <c r="L480" t="n">
        <v>0</v>
      </c>
      <c r="M480" t="n">
        <v>0</v>
      </c>
      <c r="N480" t="n">
        <v>0</v>
      </c>
      <c r="O480" t="n">
        <v>1</v>
      </c>
      <c r="P480" t="n">
        <v>0</v>
      </c>
      <c r="Q480" t="n">
        <v>1</v>
      </c>
      <c r="R480" s="2" t="inlineStr">
        <is>
          <t>Rosenticka</t>
        </is>
      </c>
      <c r="S480">
        <f>HYPERLINK("https://klasma.github.io/Logging_2283/artfynd/A 51669-2019 artfynd.xlsx", "A 51669-2019")</f>
        <v/>
      </c>
      <c r="T480">
        <f>HYPERLINK("https://klasma.github.io/Logging_2283/kartor/A 51669-2019 karta.png", "A 51669-2019")</f>
        <v/>
      </c>
      <c r="V480">
        <f>HYPERLINK("https://klasma.github.io/Logging_2283/klagomål/A 51669-2019 FSC-klagomål.docx", "A 51669-2019")</f>
        <v/>
      </c>
      <c r="W480">
        <f>HYPERLINK("https://klasma.github.io/Logging_2283/klagomålsmail/A 51669-2019 FSC-klagomål mail.docx", "A 51669-2019")</f>
        <v/>
      </c>
      <c r="X480">
        <f>HYPERLINK("https://klasma.github.io/Logging_2283/tillsyn/A 51669-2019 tillsynsbegäran.docx", "A 51669-2019")</f>
        <v/>
      </c>
      <c r="Y480">
        <f>HYPERLINK("https://klasma.github.io/Logging_2283/tillsynsmail/A 51669-2019 tillsynsbegäran mail.docx", "A 51669-2019")</f>
        <v/>
      </c>
    </row>
    <row r="481" ht="15" customHeight="1">
      <c r="A481" t="inlineStr">
        <is>
          <t>A 54148-2019</t>
        </is>
      </c>
      <c r="B481" s="1" t="n">
        <v>43753</v>
      </c>
      <c r="C481" s="1" t="n">
        <v>45218</v>
      </c>
      <c r="D481" t="inlineStr">
        <is>
          <t>VÄSTERNORRLANDS LÄN</t>
        </is>
      </c>
      <c r="E481" t="inlineStr">
        <is>
          <t>ÖRNSKÖLDSVIK</t>
        </is>
      </c>
      <c r="F481" t="inlineStr">
        <is>
          <t>Holmen skog AB</t>
        </is>
      </c>
      <c r="G481" t="n">
        <v>15</v>
      </c>
      <c r="H481" t="n">
        <v>0</v>
      </c>
      <c r="I481" t="n">
        <v>0</v>
      </c>
      <c r="J481" t="n">
        <v>1</v>
      </c>
      <c r="K481" t="n">
        <v>0</v>
      </c>
      <c r="L481" t="n">
        <v>0</v>
      </c>
      <c r="M481" t="n">
        <v>0</v>
      </c>
      <c r="N481" t="n">
        <v>0</v>
      </c>
      <c r="O481" t="n">
        <v>1</v>
      </c>
      <c r="P481" t="n">
        <v>0</v>
      </c>
      <c r="Q481" t="n">
        <v>1</v>
      </c>
      <c r="R481" s="2" t="inlineStr">
        <is>
          <t>Lunglav</t>
        </is>
      </c>
      <c r="S481">
        <f>HYPERLINK("https://klasma.github.io/Logging_2284/artfynd/A 54148-2019 artfynd.xlsx", "A 54148-2019")</f>
        <v/>
      </c>
      <c r="T481">
        <f>HYPERLINK("https://klasma.github.io/Logging_2284/kartor/A 54148-2019 karta.png", "A 54148-2019")</f>
        <v/>
      </c>
      <c r="V481">
        <f>HYPERLINK("https://klasma.github.io/Logging_2284/klagomål/A 54148-2019 FSC-klagomål.docx", "A 54148-2019")</f>
        <v/>
      </c>
      <c r="W481">
        <f>HYPERLINK("https://klasma.github.io/Logging_2284/klagomålsmail/A 54148-2019 FSC-klagomål mail.docx", "A 54148-2019")</f>
        <v/>
      </c>
      <c r="X481">
        <f>HYPERLINK("https://klasma.github.io/Logging_2284/tillsyn/A 54148-2019 tillsynsbegäran.docx", "A 54148-2019")</f>
        <v/>
      </c>
      <c r="Y481">
        <f>HYPERLINK("https://klasma.github.io/Logging_2284/tillsynsmail/A 54148-2019 tillsynsbegäran mail.docx", "A 54148-2019")</f>
        <v/>
      </c>
    </row>
    <row r="482" ht="15" customHeight="1">
      <c r="A482" t="inlineStr">
        <is>
          <t>A 55307-2019</t>
        </is>
      </c>
      <c r="B482" s="1" t="n">
        <v>43756</v>
      </c>
      <c r="C482" s="1" t="n">
        <v>45218</v>
      </c>
      <c r="D482" t="inlineStr">
        <is>
          <t>VÄSTERNORRLANDS LÄN</t>
        </is>
      </c>
      <c r="E482" t="inlineStr">
        <is>
          <t>ÖRNSKÖLDSVIK</t>
        </is>
      </c>
      <c r="F482" t="inlineStr">
        <is>
          <t>Holmen skog AB</t>
        </is>
      </c>
      <c r="G482" t="n">
        <v>3.1</v>
      </c>
      <c r="H482" t="n">
        <v>1</v>
      </c>
      <c r="I482" t="n">
        <v>0</v>
      </c>
      <c r="J482" t="n">
        <v>1</v>
      </c>
      <c r="K482" t="n">
        <v>0</v>
      </c>
      <c r="L482" t="n">
        <v>0</v>
      </c>
      <c r="M482" t="n">
        <v>0</v>
      </c>
      <c r="N482" t="n">
        <v>0</v>
      </c>
      <c r="O482" t="n">
        <v>1</v>
      </c>
      <c r="P482" t="n">
        <v>0</v>
      </c>
      <c r="Q482" t="n">
        <v>1</v>
      </c>
      <c r="R482" s="2" t="inlineStr">
        <is>
          <t>Kungsörn</t>
        </is>
      </c>
      <c r="S482">
        <f>HYPERLINK("https://klasma.github.io/Logging_2284/artfynd/A 55307-2019 artfynd.xlsx", "A 55307-2019")</f>
        <v/>
      </c>
      <c r="T482">
        <f>HYPERLINK("https://klasma.github.io/Logging_2284/kartor/A 55307-2019 karta.png", "A 55307-2019")</f>
        <v/>
      </c>
      <c r="V482">
        <f>HYPERLINK("https://klasma.github.io/Logging_2284/klagomål/A 55307-2019 FSC-klagomål.docx", "A 55307-2019")</f>
        <v/>
      </c>
      <c r="W482">
        <f>HYPERLINK("https://klasma.github.io/Logging_2284/klagomålsmail/A 55307-2019 FSC-klagomål mail.docx", "A 55307-2019")</f>
        <v/>
      </c>
      <c r="X482">
        <f>HYPERLINK("https://klasma.github.io/Logging_2284/tillsyn/A 55307-2019 tillsynsbegäran.docx", "A 55307-2019")</f>
        <v/>
      </c>
      <c r="Y482">
        <f>HYPERLINK("https://klasma.github.io/Logging_2284/tillsynsmail/A 55307-2019 tillsynsbegäran mail.docx", "A 55307-2019")</f>
        <v/>
      </c>
    </row>
    <row r="483" ht="15" customHeight="1">
      <c r="A483" t="inlineStr">
        <is>
          <t>A 60489-2019</t>
        </is>
      </c>
      <c r="B483" s="1" t="n">
        <v>43780</v>
      </c>
      <c r="C483" s="1" t="n">
        <v>45218</v>
      </c>
      <c r="D483" t="inlineStr">
        <is>
          <t>VÄSTERNORRLANDS LÄN</t>
        </is>
      </c>
      <c r="E483" t="inlineStr">
        <is>
          <t>ÖRNSKÖLDSVIK</t>
        </is>
      </c>
      <c r="F483" t="inlineStr">
        <is>
          <t>Holmen skog AB</t>
        </is>
      </c>
      <c r="G483" t="n">
        <v>1.4</v>
      </c>
      <c r="H483" t="n">
        <v>0</v>
      </c>
      <c r="I483" t="n">
        <v>0</v>
      </c>
      <c r="J483" t="n">
        <v>1</v>
      </c>
      <c r="K483" t="n">
        <v>0</v>
      </c>
      <c r="L483" t="n">
        <v>0</v>
      </c>
      <c r="M483" t="n">
        <v>0</v>
      </c>
      <c r="N483" t="n">
        <v>0</v>
      </c>
      <c r="O483" t="n">
        <v>1</v>
      </c>
      <c r="P483" t="n">
        <v>0</v>
      </c>
      <c r="Q483" t="n">
        <v>1</v>
      </c>
      <c r="R483" s="2" t="inlineStr">
        <is>
          <t>Lunglav</t>
        </is>
      </c>
      <c r="S483">
        <f>HYPERLINK("https://klasma.github.io/Logging_2284/artfynd/A 60489-2019 artfynd.xlsx", "A 60489-2019")</f>
        <v/>
      </c>
      <c r="T483">
        <f>HYPERLINK("https://klasma.github.io/Logging_2284/kartor/A 60489-2019 karta.png", "A 60489-2019")</f>
        <v/>
      </c>
      <c r="V483">
        <f>HYPERLINK("https://klasma.github.io/Logging_2284/klagomål/A 60489-2019 FSC-klagomål.docx", "A 60489-2019")</f>
        <v/>
      </c>
      <c r="W483">
        <f>HYPERLINK("https://klasma.github.io/Logging_2284/klagomålsmail/A 60489-2019 FSC-klagomål mail.docx", "A 60489-2019")</f>
        <v/>
      </c>
      <c r="X483">
        <f>HYPERLINK("https://klasma.github.io/Logging_2284/tillsyn/A 60489-2019 tillsynsbegäran.docx", "A 60489-2019")</f>
        <v/>
      </c>
      <c r="Y483">
        <f>HYPERLINK("https://klasma.github.io/Logging_2284/tillsynsmail/A 60489-2019 tillsynsbegäran mail.docx", "A 60489-2019")</f>
        <v/>
      </c>
    </row>
    <row r="484" ht="15" customHeight="1">
      <c r="A484" t="inlineStr">
        <is>
          <t>A 61401-2019</t>
        </is>
      </c>
      <c r="B484" s="1" t="n">
        <v>43783</v>
      </c>
      <c r="C484" s="1" t="n">
        <v>45218</v>
      </c>
      <c r="D484" t="inlineStr">
        <is>
          <t>VÄSTERNORRLANDS LÄN</t>
        </is>
      </c>
      <c r="E484" t="inlineStr">
        <is>
          <t>ÖRNSKÖLDSVIK</t>
        </is>
      </c>
      <c r="F484" t="inlineStr">
        <is>
          <t>Holmen skog AB</t>
        </is>
      </c>
      <c r="G484" t="n">
        <v>7.5</v>
      </c>
      <c r="H484" t="n">
        <v>0</v>
      </c>
      <c r="I484" t="n">
        <v>1</v>
      </c>
      <c r="J484" t="n">
        <v>0</v>
      </c>
      <c r="K484" t="n">
        <v>0</v>
      </c>
      <c r="L484" t="n">
        <v>0</v>
      </c>
      <c r="M484" t="n">
        <v>0</v>
      </c>
      <c r="N484" t="n">
        <v>0</v>
      </c>
      <c r="O484" t="n">
        <v>0</v>
      </c>
      <c r="P484" t="n">
        <v>0</v>
      </c>
      <c r="Q484" t="n">
        <v>1</v>
      </c>
      <c r="R484" s="2" t="inlineStr">
        <is>
          <t>Vedticka</t>
        </is>
      </c>
      <c r="S484">
        <f>HYPERLINK("https://klasma.github.io/Logging_2284/artfynd/A 61401-2019 artfynd.xlsx", "A 61401-2019")</f>
        <v/>
      </c>
      <c r="T484">
        <f>HYPERLINK("https://klasma.github.io/Logging_2284/kartor/A 61401-2019 karta.png", "A 61401-2019")</f>
        <v/>
      </c>
      <c r="V484">
        <f>HYPERLINK("https://klasma.github.io/Logging_2284/klagomål/A 61401-2019 FSC-klagomål.docx", "A 61401-2019")</f>
        <v/>
      </c>
      <c r="W484">
        <f>HYPERLINK("https://klasma.github.io/Logging_2284/klagomålsmail/A 61401-2019 FSC-klagomål mail.docx", "A 61401-2019")</f>
        <v/>
      </c>
      <c r="X484">
        <f>HYPERLINK("https://klasma.github.io/Logging_2284/tillsyn/A 61401-2019 tillsynsbegäran.docx", "A 61401-2019")</f>
        <v/>
      </c>
      <c r="Y484">
        <f>HYPERLINK("https://klasma.github.io/Logging_2284/tillsynsmail/A 61401-2019 tillsynsbegäran mail.docx", "A 61401-2019")</f>
        <v/>
      </c>
    </row>
    <row r="485" ht="15" customHeight="1">
      <c r="A485" t="inlineStr">
        <is>
          <t>A 66710-2019</t>
        </is>
      </c>
      <c r="B485" s="1" t="n">
        <v>43809</v>
      </c>
      <c r="C485" s="1" t="n">
        <v>45218</v>
      </c>
      <c r="D485" t="inlineStr">
        <is>
          <t>VÄSTERNORRLANDS LÄN</t>
        </is>
      </c>
      <c r="E485" t="inlineStr">
        <is>
          <t>TIMRÅ</t>
        </is>
      </c>
      <c r="G485" t="n">
        <v>2.9</v>
      </c>
      <c r="H485" t="n">
        <v>0</v>
      </c>
      <c r="I485" t="n">
        <v>0</v>
      </c>
      <c r="J485" t="n">
        <v>1</v>
      </c>
      <c r="K485" t="n">
        <v>0</v>
      </c>
      <c r="L485" t="n">
        <v>0</v>
      </c>
      <c r="M485" t="n">
        <v>0</v>
      </c>
      <c r="N485" t="n">
        <v>0</v>
      </c>
      <c r="O485" t="n">
        <v>1</v>
      </c>
      <c r="P485" t="n">
        <v>0</v>
      </c>
      <c r="Q485" t="n">
        <v>1</v>
      </c>
      <c r="R485" s="2" t="inlineStr">
        <is>
          <t>Ullticka</t>
        </is>
      </c>
      <c r="S485">
        <f>HYPERLINK("https://klasma.github.io/Logging_2262/artfynd/A 66710-2019 artfynd.xlsx", "A 66710-2019")</f>
        <v/>
      </c>
      <c r="T485">
        <f>HYPERLINK("https://klasma.github.io/Logging_2262/kartor/A 66710-2019 karta.png", "A 66710-2019")</f>
        <v/>
      </c>
      <c r="V485">
        <f>HYPERLINK("https://klasma.github.io/Logging_2262/klagomål/A 66710-2019 FSC-klagomål.docx", "A 66710-2019")</f>
        <v/>
      </c>
      <c r="W485">
        <f>HYPERLINK("https://klasma.github.io/Logging_2262/klagomålsmail/A 66710-2019 FSC-klagomål mail.docx", "A 66710-2019")</f>
        <v/>
      </c>
      <c r="X485">
        <f>HYPERLINK("https://klasma.github.io/Logging_2262/tillsyn/A 66710-2019 tillsynsbegäran.docx", "A 66710-2019")</f>
        <v/>
      </c>
      <c r="Y485">
        <f>HYPERLINK("https://klasma.github.io/Logging_2262/tillsynsmail/A 66710-2019 tillsynsbegäran mail.docx", "A 66710-2019")</f>
        <v/>
      </c>
    </row>
    <row r="486" ht="15" customHeight="1">
      <c r="A486" t="inlineStr">
        <is>
          <t>A 970-2020</t>
        </is>
      </c>
      <c r="B486" s="1" t="n">
        <v>43839</v>
      </c>
      <c r="C486" s="1" t="n">
        <v>45218</v>
      </c>
      <c r="D486" t="inlineStr">
        <is>
          <t>VÄSTERNORRLANDS LÄN</t>
        </is>
      </c>
      <c r="E486" t="inlineStr">
        <is>
          <t>SUNDSVALL</t>
        </is>
      </c>
      <c r="F486" t="inlineStr">
        <is>
          <t>Kommuner</t>
        </is>
      </c>
      <c r="G486" t="n">
        <v>0.8</v>
      </c>
      <c r="H486" t="n">
        <v>1</v>
      </c>
      <c r="I486" t="n">
        <v>0</v>
      </c>
      <c r="J486" t="n">
        <v>1</v>
      </c>
      <c r="K486" t="n">
        <v>0</v>
      </c>
      <c r="L486" t="n">
        <v>0</v>
      </c>
      <c r="M486" t="n">
        <v>0</v>
      </c>
      <c r="N486" t="n">
        <v>0</v>
      </c>
      <c r="O486" t="n">
        <v>1</v>
      </c>
      <c r="P486" t="n">
        <v>0</v>
      </c>
      <c r="Q486" t="n">
        <v>1</v>
      </c>
      <c r="R486" s="2" t="inlineStr">
        <is>
          <t>Rosenfink</t>
        </is>
      </c>
      <c r="S486">
        <f>HYPERLINK("https://klasma.github.io/Logging_2281/artfynd/A 970-2020 artfynd.xlsx", "A 970-2020")</f>
        <v/>
      </c>
      <c r="T486">
        <f>HYPERLINK("https://klasma.github.io/Logging_2281/kartor/A 970-2020 karta.png", "A 970-2020")</f>
        <v/>
      </c>
      <c r="V486">
        <f>HYPERLINK("https://klasma.github.io/Logging_2281/klagomål/A 970-2020 FSC-klagomål.docx", "A 970-2020")</f>
        <v/>
      </c>
      <c r="W486">
        <f>HYPERLINK("https://klasma.github.io/Logging_2281/klagomålsmail/A 970-2020 FSC-klagomål mail.docx", "A 970-2020")</f>
        <v/>
      </c>
      <c r="X486">
        <f>HYPERLINK("https://klasma.github.io/Logging_2281/tillsyn/A 970-2020 tillsynsbegäran.docx", "A 970-2020")</f>
        <v/>
      </c>
      <c r="Y486">
        <f>HYPERLINK("https://klasma.github.io/Logging_2281/tillsynsmail/A 970-2020 tillsynsbegäran mail.docx", "A 970-2020")</f>
        <v/>
      </c>
    </row>
    <row r="487" ht="15" customHeight="1">
      <c r="A487" t="inlineStr">
        <is>
          <t>A 1431-2020</t>
        </is>
      </c>
      <c r="B487" s="1" t="n">
        <v>43843</v>
      </c>
      <c r="C487" s="1" t="n">
        <v>45218</v>
      </c>
      <c r="D487" t="inlineStr">
        <is>
          <t>VÄSTERNORRLANDS LÄN</t>
        </is>
      </c>
      <c r="E487" t="inlineStr">
        <is>
          <t>ÖRNSKÖLDSVIK</t>
        </is>
      </c>
      <c r="F487" t="inlineStr">
        <is>
          <t>Holmen skog AB</t>
        </is>
      </c>
      <c r="G487" t="n">
        <v>3</v>
      </c>
      <c r="H487" t="n">
        <v>0</v>
      </c>
      <c r="I487" t="n">
        <v>0</v>
      </c>
      <c r="J487" t="n">
        <v>1</v>
      </c>
      <c r="K487" t="n">
        <v>0</v>
      </c>
      <c r="L487" t="n">
        <v>0</v>
      </c>
      <c r="M487" t="n">
        <v>0</v>
      </c>
      <c r="N487" t="n">
        <v>0</v>
      </c>
      <c r="O487" t="n">
        <v>1</v>
      </c>
      <c r="P487" t="n">
        <v>0</v>
      </c>
      <c r="Q487" t="n">
        <v>1</v>
      </c>
      <c r="R487" s="2" t="inlineStr">
        <is>
          <t>Garnlav</t>
        </is>
      </c>
      <c r="S487">
        <f>HYPERLINK("https://klasma.github.io/Logging_2284/artfynd/A 1431-2020 artfynd.xlsx", "A 1431-2020")</f>
        <v/>
      </c>
      <c r="T487">
        <f>HYPERLINK("https://klasma.github.io/Logging_2284/kartor/A 1431-2020 karta.png", "A 1431-2020")</f>
        <v/>
      </c>
      <c r="V487">
        <f>HYPERLINK("https://klasma.github.io/Logging_2284/klagomål/A 1431-2020 FSC-klagomål.docx", "A 1431-2020")</f>
        <v/>
      </c>
      <c r="W487">
        <f>HYPERLINK("https://klasma.github.io/Logging_2284/klagomålsmail/A 1431-2020 FSC-klagomål mail.docx", "A 1431-2020")</f>
        <v/>
      </c>
      <c r="X487">
        <f>HYPERLINK("https://klasma.github.io/Logging_2284/tillsyn/A 1431-2020 tillsynsbegäran.docx", "A 1431-2020")</f>
        <v/>
      </c>
      <c r="Y487">
        <f>HYPERLINK("https://klasma.github.io/Logging_2284/tillsynsmail/A 1431-2020 tillsynsbegäran mail.docx", "A 1431-2020")</f>
        <v/>
      </c>
    </row>
    <row r="488" ht="15" customHeight="1">
      <c r="A488" t="inlineStr">
        <is>
          <t>A 3905-2020</t>
        </is>
      </c>
      <c r="B488" s="1" t="n">
        <v>43854</v>
      </c>
      <c r="C488" s="1" t="n">
        <v>45218</v>
      </c>
      <c r="D488" t="inlineStr">
        <is>
          <t>VÄSTERNORRLANDS LÄN</t>
        </is>
      </c>
      <c r="E488" t="inlineStr">
        <is>
          <t>ÖRNSKÖLDSVIK</t>
        </is>
      </c>
      <c r="F488" t="inlineStr">
        <is>
          <t>Holmen skog AB</t>
        </is>
      </c>
      <c r="G488" t="n">
        <v>2.1</v>
      </c>
      <c r="H488" t="n">
        <v>0</v>
      </c>
      <c r="I488" t="n">
        <v>0</v>
      </c>
      <c r="J488" t="n">
        <v>1</v>
      </c>
      <c r="K488" t="n">
        <v>0</v>
      </c>
      <c r="L488" t="n">
        <v>0</v>
      </c>
      <c r="M488" t="n">
        <v>0</v>
      </c>
      <c r="N488" t="n">
        <v>0</v>
      </c>
      <c r="O488" t="n">
        <v>1</v>
      </c>
      <c r="P488" t="n">
        <v>0</v>
      </c>
      <c r="Q488" t="n">
        <v>1</v>
      </c>
      <c r="R488" s="2" t="inlineStr">
        <is>
          <t>Garnlav</t>
        </is>
      </c>
      <c r="S488">
        <f>HYPERLINK("https://klasma.github.io/Logging_2284/artfynd/A 3905-2020 artfynd.xlsx", "A 3905-2020")</f>
        <v/>
      </c>
      <c r="T488">
        <f>HYPERLINK("https://klasma.github.io/Logging_2284/kartor/A 3905-2020 karta.png", "A 3905-2020")</f>
        <v/>
      </c>
      <c r="V488">
        <f>HYPERLINK("https://klasma.github.io/Logging_2284/klagomål/A 3905-2020 FSC-klagomål.docx", "A 3905-2020")</f>
        <v/>
      </c>
      <c r="W488">
        <f>HYPERLINK("https://klasma.github.io/Logging_2284/klagomålsmail/A 3905-2020 FSC-klagomål mail.docx", "A 3905-2020")</f>
        <v/>
      </c>
      <c r="X488">
        <f>HYPERLINK("https://klasma.github.io/Logging_2284/tillsyn/A 3905-2020 tillsynsbegäran.docx", "A 3905-2020")</f>
        <v/>
      </c>
      <c r="Y488">
        <f>HYPERLINK("https://klasma.github.io/Logging_2284/tillsynsmail/A 3905-2020 tillsynsbegäran mail.docx", "A 3905-2020")</f>
        <v/>
      </c>
    </row>
    <row r="489" ht="15" customHeight="1">
      <c r="A489" t="inlineStr">
        <is>
          <t>A 6564-2020</t>
        </is>
      </c>
      <c r="B489" s="1" t="n">
        <v>43867</v>
      </c>
      <c r="C489" s="1" t="n">
        <v>45218</v>
      </c>
      <c r="D489" t="inlineStr">
        <is>
          <t>VÄSTERNORRLANDS LÄN</t>
        </is>
      </c>
      <c r="E489" t="inlineStr">
        <is>
          <t>ÅNGE</t>
        </is>
      </c>
      <c r="G489" t="n">
        <v>4.2</v>
      </c>
      <c r="H489" t="n">
        <v>1</v>
      </c>
      <c r="I489" t="n">
        <v>0</v>
      </c>
      <c r="J489" t="n">
        <v>0</v>
      </c>
      <c r="K489" t="n">
        <v>0</v>
      </c>
      <c r="L489" t="n">
        <v>0</v>
      </c>
      <c r="M489" t="n">
        <v>0</v>
      </c>
      <c r="N489" t="n">
        <v>0</v>
      </c>
      <c r="O489" t="n">
        <v>0</v>
      </c>
      <c r="P489" t="n">
        <v>0</v>
      </c>
      <c r="Q489" t="n">
        <v>1</v>
      </c>
      <c r="R489" s="2" t="inlineStr">
        <is>
          <t>Huggorm</t>
        </is>
      </c>
      <c r="S489">
        <f>HYPERLINK("https://klasma.github.io/Logging_2260/artfynd/A 6564-2020 artfynd.xlsx", "A 6564-2020")</f>
        <v/>
      </c>
      <c r="T489">
        <f>HYPERLINK("https://klasma.github.io/Logging_2260/kartor/A 6564-2020 karta.png", "A 6564-2020")</f>
        <v/>
      </c>
      <c r="V489">
        <f>HYPERLINK("https://klasma.github.io/Logging_2260/klagomål/A 6564-2020 FSC-klagomål.docx", "A 6564-2020")</f>
        <v/>
      </c>
      <c r="W489">
        <f>HYPERLINK("https://klasma.github.io/Logging_2260/klagomålsmail/A 6564-2020 FSC-klagomål mail.docx", "A 6564-2020")</f>
        <v/>
      </c>
      <c r="X489">
        <f>HYPERLINK("https://klasma.github.io/Logging_2260/tillsyn/A 6564-2020 tillsynsbegäran.docx", "A 6564-2020")</f>
        <v/>
      </c>
      <c r="Y489">
        <f>HYPERLINK("https://klasma.github.io/Logging_2260/tillsynsmail/A 6564-2020 tillsynsbegäran mail.docx", "A 6564-2020")</f>
        <v/>
      </c>
    </row>
    <row r="490" ht="15" customHeight="1">
      <c r="A490" t="inlineStr">
        <is>
          <t>A 9178-2020</t>
        </is>
      </c>
      <c r="B490" s="1" t="n">
        <v>43879</v>
      </c>
      <c r="C490" s="1" t="n">
        <v>45218</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45218</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45218</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45218</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45218</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45218</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45218</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45218</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45218</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45218</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45218</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45218</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45218</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45218</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45218</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45218</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45218</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45218</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45218</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45218</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45218</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45218</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45218</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45218</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45218</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45218</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45218</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45218</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45218</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45218</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45218</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45218</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45218</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45218</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45218</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45218</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45218</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45218</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45218</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45218</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45218</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45218</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45218</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45218</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45218</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45218</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45218</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45218</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45218</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45218</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45218</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45218</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45218</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45218</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45218</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45218</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45218</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45218</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45218</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45218</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45218</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45218</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45218</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45218</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45218</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45218</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45218</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45218</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45218</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45218</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45218</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45218</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45218</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45218</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45218</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45218</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45218</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45218</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45218</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45218</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45218</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45218</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45218</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45218</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45218</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45218</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45218</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45218</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45218</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45218</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45218</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45218</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45218</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45218</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45218</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45218</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45218</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45218</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45218</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45218</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45218</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45218</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45218</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45218</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45218</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45218</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45218</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45218</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45218</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45218</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45218</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45218</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45218</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45218</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45218</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45218</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45218</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45218</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45218</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45218</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45218</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45218</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45218</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45218</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45218</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45218</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45218</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45218</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45218</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45218</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45218</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45218</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45218</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45218</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45218</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45218</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45218</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45218</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45218</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45218</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45218</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45218</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45218</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45218</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45218</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45218</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45218</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45218</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45218</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45218</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45218</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45218</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45218</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45218</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45218</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45218</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45218</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45218</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45218</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45218</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45218</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45218</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45218</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45218</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45218</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45218</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45218</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45218</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45218</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45218</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45218</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45218</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45218</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45218</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45218</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45218</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45218</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45218</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45218</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45218</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45218</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45218</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45218</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45218</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45218</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45218</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45218</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45218</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45218</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45218</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45218</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45218</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45218</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45218</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45218</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45218</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45218</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45218</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45218</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45218</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45218</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45218</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45218</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45218</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45218</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45218</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45218</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45218</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45218</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45218</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45218</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45218</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45218</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45218</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45218</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45218</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45218</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45218</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45218</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45218</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45218</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45218</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45218</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45218</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45218</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45218</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45218</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45218</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45218</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45218</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45218</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45218</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45218</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45218</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45218</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45218</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45218</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45218</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45218</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45218</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45218</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45218</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45218</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45218</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45218</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45218</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45218</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45218</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45218</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45218</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45218</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45218</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45218</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45218</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45218</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45218</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45218</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45218</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45218</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45218</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45218</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45218</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45218</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45218</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45218</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45218</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45218</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45218</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45218</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45218</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45218</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45218</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45218</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45218</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45218</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45218</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45218</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45218</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45218</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45218</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45218</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45218</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45218</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45218</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45218</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45218</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45218</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45218</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45218</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45218</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45218</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45218</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45218</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45218</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45218</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45218</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45218</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45218</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45218</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45218</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45218</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45218</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45218</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45218</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45218</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45218</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45218</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45218</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45218</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45218</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45218</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45218</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45218</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45218</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45218</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45218</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45218</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45218</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45218</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45218</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45218</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45218</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45218</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45218</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45218</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45218</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45218</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45218</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45218</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45218</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45218</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45218</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45218</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45218</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45218</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45218</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45218</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45218</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45218</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45218</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45218</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45218</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45218</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45218</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45218</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45218</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45218</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45218</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45218</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45218</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45218</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45218</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45218</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45218</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45218</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45218</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45218</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45218</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45218</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45218</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45218</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45218</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45218</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45218</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45218</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45218</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45218</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45218</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45218</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45218</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45218</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45218</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45218</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45218</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45218</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45218</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45218</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45218</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45218</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45218</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45218</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45218</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45218</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45218</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45218</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45218</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45218</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45218</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45218</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45218</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45218</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45218</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45218</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45218</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45218</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45218</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45218</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45218</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45218</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45218</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45218</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45218</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45218</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45218</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45218</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45218</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45218</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45218</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45218</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45218</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45218</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45218</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45218</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45218</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45218</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45218</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45218</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45218</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45218</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45218</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45218</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45218</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45218</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45218</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45218</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45218</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45218</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45218</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45218</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45218</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45218</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45218</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45218</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45218</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45218</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45218</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45218</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45218</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45218</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45218</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45218</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45218</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45218</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45218</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45218</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45218</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45218</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45218</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45218</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45218</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45218</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45218</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45218</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45218</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45218</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45218</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45218</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45218</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45218</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45218</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45218</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45218</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45218</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45218</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45218</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45218</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45218</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45218</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45218</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45218</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45218</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45218</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45218</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45218</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45218</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45218</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45218</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45218</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45218</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45218</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45218</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45218</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45218</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45218</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45218</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45218</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45218</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45218</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45218</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45218</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45218</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45218</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45218</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45218</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45218</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45218</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45218</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45218</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45218</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45218</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45218</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45218</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45218</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45218</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45218</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45218</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45218</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45218</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45218</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45218</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45218</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45218</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45218</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45218</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45218</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45218</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45218</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45218</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45218</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45218</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45218</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45218</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45218</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45218</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45218</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45218</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45218</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45218</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45218</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45218</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45218</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45218</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45218</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45218</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45218</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45218</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45218</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45218</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45218</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45218</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45218</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45218</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45218</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45218</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45218</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45218</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45218</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45218</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45218</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45218</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45218</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45218</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45218</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45218</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45218</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45218</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45218</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45218</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45218</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45218</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45218</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45218</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45218</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45218</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45218</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45218</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45218</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45218</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45218</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45218</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45218</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45218</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45218</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45218</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45218</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45218</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45218</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45218</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45218</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45218</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45218</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45218</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45218</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45218</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45218</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45218</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45218</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45218</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45218</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45218</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45218</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45218</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45218</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45218</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45218</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45218</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45218</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45218</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45218</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45218</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45218</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45218</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45218</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45218</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45218</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45218</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45218</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45218</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45218</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45218</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45218</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45218</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45218</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45218</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45218</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45218</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45218</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45218</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45218</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45218</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45218</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45218</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45218</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45218</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45218</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45218</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45218</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45218</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45218</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45218</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45218</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45218</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45218</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45218</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45218</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45218</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45218</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45218</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45218</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45218</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45218</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45218</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45218</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45218</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45218</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45218</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45218</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45218</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45218</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45218</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45218</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45218</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45218</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45218</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45218</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45218</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45218</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45218</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45218</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45218</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45218</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45218</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45218</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45218</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45218</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45218</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45218</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45218</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45218</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45218</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45218</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45218</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45218</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45218</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45218</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45218</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45218</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45218</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45218</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45218</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45218</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45218</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45218</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45218</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45218</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45218</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45218</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45218</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45218</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45218</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45218</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45218</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45218</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45218</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45218</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45218</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45218</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45218</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45218</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45218</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45218</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45218</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45218</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45218</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45218</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45218</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45218</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45218</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45218</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45218</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45218</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45218</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45218</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45218</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45218</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45218</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45218</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45218</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45218</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45218</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45218</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45218</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45218</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45218</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45218</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45218</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45218</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45218</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45218</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45218</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45218</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45218</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45218</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45218</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45218</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45218</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45218</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45218</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45218</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45218</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45218</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45218</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45218</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45218</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45218</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45218</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45218</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45218</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45218</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45218</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45218</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45218</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45218</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45218</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45218</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45218</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45218</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45218</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45218</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45218</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45218</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45218</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45218</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45218</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45218</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45218</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45218</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45218</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45218</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45218</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45218</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45218</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45218</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45218</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45218</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45218</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45218</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45218</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45218</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45218</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45218</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45218</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45218</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45218</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45218</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45218</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45218</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45218</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45218</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45218</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45218</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45218</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45218</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45218</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45218</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45218</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45218</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45218</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45218</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45218</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45218</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45218</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45218</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45218</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45218</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45218</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45218</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45218</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45218</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45218</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45218</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45218</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45218</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45218</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45218</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45218</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45218</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45218</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45218</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45218</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45218</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45218</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45218</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45218</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45218</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45218</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45218</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45218</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45218</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45218</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45218</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45218</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45218</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45218</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45218</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45218</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45218</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45218</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45218</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45218</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45218</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45218</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45218</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45218</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45218</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45218</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45218</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45218</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45218</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45218</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45218</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45218</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45218</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45218</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45218</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45218</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45218</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45218</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45218</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45218</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45218</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45218</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45218</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45218</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45218</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45218</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45218</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45218</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45218</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45218</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45218</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45218</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45218</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45218</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45218</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45218</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45218</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45218</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45218</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45218</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45218</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45218</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45218</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45218</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45218</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45218</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45218</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45218</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45218</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45218</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45218</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45218</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45218</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45218</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45218</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45218</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45218</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45218</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45218</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45218</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45218</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45218</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45218</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45218</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45218</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45218</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45218</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45218</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45218</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45218</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45218</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45218</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45218</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45218</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45218</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45218</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45218</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45218</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45218</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45218</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45218</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45218</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45218</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45218</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45218</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45218</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45218</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45218</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45218</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45218</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45218</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45218</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45218</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45218</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45218</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45218</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45218</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45218</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45218</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45218</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45218</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45218</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45218</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45218</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45218</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45218</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45218</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45218</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45218</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45218</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45218</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45218</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45218</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45218</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45218</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45218</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45218</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45218</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45218</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45218</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45218</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45218</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45218</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45218</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45218</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45218</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45218</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45218</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45218</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45218</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45218</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45218</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45218</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45218</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45218</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45218</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45218</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45218</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45218</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45218</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45218</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45218</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45218</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45218</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45218</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45218</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45218</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45218</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45218</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45218</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45218</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45218</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45218</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45218</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45218</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45218</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45218</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45218</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45218</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45218</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45218</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45218</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45218</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45218</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45218</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45218</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45218</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45218</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45218</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45218</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45218</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45218</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45218</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45218</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45218</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45218</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45218</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45218</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45218</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45218</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45218</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45218</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45218</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45218</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45218</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45218</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45218</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45218</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45218</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45218</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45218</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45218</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45218</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45218</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45218</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45218</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45218</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45218</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45218</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45218</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45218</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45218</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45218</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45218</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45218</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45218</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45218</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45218</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45218</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45218</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45218</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45218</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45218</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45218</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45218</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45218</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45218</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45218</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45218</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45218</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45218</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45218</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45218</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45218</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45218</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45218</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45218</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45218</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45218</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45218</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45218</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45218</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45218</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45218</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45218</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45218</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45218</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45218</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45218</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45218</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45218</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45218</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45218</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45218</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45218</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45218</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45218</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45218</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45218</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45218</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45218</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45218</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45218</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45218</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45218</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45218</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45218</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45218</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45218</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45218</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45218</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45218</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45218</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45218</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45218</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45218</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45218</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45218</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45218</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45218</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45218</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45218</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45218</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45218</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45218</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45218</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45218</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45218</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45218</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45218</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45218</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45218</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45218</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45218</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45218</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45218</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45218</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45218</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45218</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45218</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45218</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45218</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45218</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45218</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45218</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45218</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45218</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45218</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45218</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45218</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45218</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45218</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45218</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45218</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45218</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45218</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45218</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45218</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45218</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45218</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45218</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45218</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45218</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45218</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45218</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45218</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45218</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45218</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45218</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45218</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45218</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45218</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45218</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45218</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45218</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45218</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45218</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45218</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45218</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45218</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45218</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45218</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45218</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45218</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45218</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45218</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45218</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45218</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45218</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45218</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45218</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45218</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45218</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45218</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45218</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45218</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45218</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45218</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45218</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45218</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45218</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45218</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45218</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45218</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45218</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45218</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45218</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45218</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45218</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45218</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45218</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45218</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45218</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45218</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45218</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45218</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45218</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45218</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45218</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45218</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45218</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45218</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45218</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45218</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45218</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45218</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45218</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45218</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45218</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45218</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45218</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45218</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45218</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45218</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45218</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45218</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45218</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45218</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45218</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45218</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45218</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45218</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45218</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45218</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45218</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45218</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45218</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45218</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45218</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45218</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45218</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45218</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45218</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45218</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45218</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45218</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45218</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45218</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45218</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45218</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45218</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45218</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45218</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45218</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45218</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45218</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45218</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45218</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45218</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45218</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45218</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45218</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45218</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45218</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45218</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45218</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45218</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45218</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45218</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45218</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45218</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45218</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45218</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45218</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45218</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45218</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45218</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45218</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45218</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45218</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45218</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45218</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45218</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45218</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45218</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45218</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45218</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45218</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45218</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45218</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45218</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45218</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45218</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45218</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45218</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45218</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45218</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45218</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45218</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45218</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45218</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45218</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45218</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45218</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45218</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45218</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45218</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45218</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45218</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45218</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45218</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45218</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45218</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45218</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45218</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45218</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45218</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45218</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45218</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45218</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45218</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45218</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45218</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45218</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45218</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45218</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45218</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45218</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45218</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45218</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45218</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45218</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45218</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45218</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45218</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45218</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45218</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45218</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45218</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45218</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45218</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45218</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45218</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45218</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45218</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45218</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45218</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45218</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45218</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45218</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45218</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45218</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45218</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45218</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45218</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45218</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45218</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45218</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45218</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45218</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45218</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45218</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45218</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45218</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45218</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45218</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45218</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45218</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45218</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45218</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45218</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45218</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45218</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45218</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45218</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45218</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45218</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45218</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45218</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45218</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45218</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45218</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45218</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45218</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45218</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45218</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45218</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45218</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45218</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45218</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45218</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45218</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45218</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45218</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45218</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45218</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45218</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45218</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45218</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45218</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45218</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45218</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45218</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45218</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45218</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45218</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45218</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45218</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45218</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45218</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45218</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45218</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45218</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45218</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45218</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45218</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45218</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45218</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45218</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45218</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45218</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45218</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45218</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45218</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45218</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45218</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45218</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45218</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45218</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45218</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45218</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45218</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45218</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45218</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45218</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45218</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45218</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45218</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45218</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45218</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45218</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45218</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45218</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45218</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45218</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45218</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45218</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45218</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45218</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45218</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45218</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45218</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45218</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45218</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45218</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45218</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45218</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45218</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45218</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45218</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45218</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45218</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45218</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45218</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45218</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45218</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45218</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45218</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45218</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45218</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45218</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45218</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45218</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45218</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45218</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45218</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45218</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45218</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45218</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45218</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45218</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45218</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45218</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45218</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45218</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45218</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45218</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45218</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45218</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45218</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45218</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45218</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45218</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45218</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45218</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45218</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45218</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45218</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45218</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45218</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45218</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45218</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45218</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45218</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45218</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45218</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45218</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45218</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45218</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45218</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45218</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45218</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45218</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45218</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45218</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45218</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45218</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45218</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45218</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45218</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45218</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45218</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45218</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45218</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45218</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45218</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45218</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45218</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45218</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45218</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45218</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45218</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45218</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45218</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45218</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45218</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45218</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45218</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45218</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45218</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45218</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45218</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45218</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45218</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45218</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45218</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45218</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45218</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45218</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45218</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45218</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45218</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45218</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45218</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45218</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45218</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45218</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45218</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45218</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45218</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45218</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45218</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45218</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45218</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45218</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45218</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45218</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45218</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45218</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45218</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45218</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45218</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45218</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45218</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45218</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45218</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45218</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45218</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45218</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45218</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45218</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45218</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45218</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45218</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45218</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45218</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45218</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45218</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45218</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45218</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45218</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45218</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45218</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45218</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45218</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45218</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45218</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45218</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45218</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45218</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45218</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45218</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45218</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45218</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45218</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45218</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45218</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45218</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45218</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45218</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45218</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45218</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45218</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45218</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45218</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45218</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45218</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45218</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45218</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45218</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45218</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45218</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45218</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45218</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45218</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45218</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45218</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45218</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45218</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45218</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45218</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45218</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45218</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45218</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45218</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45218</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45218</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45218</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45218</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45218</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45218</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45218</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45218</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45218</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45218</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45218</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45218</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45218</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45218</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45218</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45218</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45218</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45218</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45218</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45218</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45218</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45218</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45218</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45218</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45218</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45218</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45218</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45218</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45218</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45218</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45218</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45218</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45218</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45218</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45218</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45218</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45218</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45218</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45218</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45218</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45218</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45218</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45218</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45218</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45218</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45218</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45218</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45218</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45218</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45218</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45218</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45218</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45218</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45218</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45218</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45218</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45218</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45218</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45218</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45218</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45218</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45218</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45218</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45218</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45218</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45218</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45218</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45218</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45218</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45218</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45218</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45218</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45218</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45218</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45218</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45218</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45218</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45218</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45218</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45218</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45218</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45218</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45218</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45218</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45218</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45218</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45218</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45218</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45218</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45218</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45218</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45218</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45218</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45218</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45218</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45218</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45218</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45218</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45218</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45218</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45218</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45218</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45218</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45218</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45218</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45218</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45218</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45218</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45218</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45218</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45218</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45218</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45218</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45218</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45218</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45218</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45218</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45218</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45218</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45218</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45218</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45218</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45218</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45218</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45218</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45218</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45218</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45218</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45218</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45218</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45218</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45218</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45218</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45218</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45218</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45218</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45218</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45218</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45218</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45218</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45218</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45218</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45218</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45218</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45218</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45218</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45218</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45218</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45218</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45218</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45218</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45218</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45218</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45218</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45218</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45218</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45218</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45218</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45218</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45218</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45218</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45218</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45218</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45218</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45218</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45218</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45218</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45218</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45218</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45218</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45218</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45218</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45218</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45218</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45218</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45218</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45218</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45218</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45218</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45218</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45218</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45218</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45218</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45218</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45218</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45218</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45218</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45218</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45218</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45218</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45218</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45218</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45218</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45218</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45218</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45218</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45218</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45218</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45218</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45218</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45218</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45218</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45218</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45218</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45218</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45218</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45218</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45218</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45218</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45218</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45218</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45218</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45218</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45218</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45218</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45218</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45218</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45218</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45218</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45218</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45218</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45218</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45218</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45218</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45218</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45218</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45218</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45218</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45218</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45218</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45218</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45218</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45218</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45218</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45218</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45218</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45218</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45218</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45218</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45218</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45218</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45218</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45218</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45218</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45218</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45218</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45218</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45218</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45218</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45218</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45218</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45218</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45218</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45218</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45218</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45218</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45218</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45218</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45218</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45218</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45218</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45218</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45218</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45218</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45218</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45218</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45218</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45218</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45218</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45218</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45218</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45218</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45218</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45218</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45218</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45218</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45218</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45218</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45218</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45218</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45218</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45218</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45218</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45218</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45218</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45218</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45218</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45218</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45218</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45218</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45218</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45218</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45218</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45218</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45218</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45218</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45218</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45218</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45218</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45218</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45218</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45218</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45218</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45218</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45218</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45218</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45218</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45218</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45218</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45218</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45218</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45218</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45218</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45218</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45218</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45218</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45218</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45218</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45218</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45218</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45218</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45218</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45218</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45218</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45218</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45218</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45218</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45218</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45218</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45218</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45218</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45218</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45218</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45218</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45218</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45218</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45218</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45218</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45218</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45218</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45218</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45218</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45218</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45218</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45218</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45218</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45218</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45218</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45218</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45218</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45218</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45218</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45218</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45218</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45218</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45218</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45218</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45218</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45218</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45218</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45218</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45218</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45218</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45218</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45218</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45218</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45218</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45218</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45218</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45218</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45218</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45218</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45218</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45218</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45218</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45218</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45218</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45218</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45218</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45218</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45218</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45218</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45218</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45218</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45218</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45218</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45218</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45218</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45218</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45218</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45218</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45218</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45218</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45218</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45218</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45218</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45218</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45218</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45218</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45218</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45218</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45218</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45218</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45218</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45218</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45218</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45218</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45218</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45218</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45218</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45218</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45218</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45218</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45218</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45218</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45218</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45218</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45218</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45218</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45218</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45218</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45218</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45218</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45218</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45218</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45218</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45218</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45218</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45218</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45218</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45218</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45218</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45218</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45218</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45218</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45218</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45218</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45218</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45218</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45218</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45218</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45218</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45218</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45218</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45218</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45218</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45218</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45218</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45218</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45218</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45218</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45218</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45218</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45218</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45218</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45218</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45218</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45218</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45218</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45218</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45218</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45218</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45218</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45218</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45218</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45218</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45218</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45218</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45218</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45218</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45218</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45218</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45218</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45218</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45218</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45218</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45218</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45218</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45218</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45218</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45218</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45218</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45218</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45218</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45218</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45218</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45218</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45218</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45218</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45218</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45218</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45218</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45218</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45218</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45218</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45218</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45218</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45218</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45218</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45218</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45218</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45218</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45218</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45218</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45218</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45218</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45218</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45218</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45218</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45218</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45218</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45218</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45218</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45218</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45218</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45218</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45218</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45218</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45218</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45218</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45218</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45218</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45218</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45218</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45218</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45218</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45218</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45218</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45218</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45218</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45218</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45218</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45218</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45218</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45218</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45218</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45218</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45218</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45218</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45218</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45218</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45218</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45218</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45218</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45218</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45218</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45218</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45218</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45218</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45218</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45218</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45218</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45218</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45218</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45218</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45218</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45218</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45218</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45218</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45218</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45218</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45218</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45218</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45218</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45218</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45218</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45218</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45218</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45218</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45218</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45218</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45218</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45218</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45218</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45218</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45218</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45218</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45218</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45218</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45218</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45218</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45218</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45218</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45218</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45218</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45218</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45218</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45218</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45218</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45218</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45218</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45218</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45218</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45218</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45218</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45218</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45218</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45218</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45218</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45218</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45218</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45218</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45218</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45218</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45218</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45218</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45218</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45218</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45218</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45218</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45218</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45218</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45218</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45218</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45218</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45218</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45218</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45218</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45218</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45218</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45218</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45218</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45218</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45218</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45218</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45218</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45218</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45218</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45218</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45218</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45218</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45218</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45218</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45218</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45218</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45218</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45218</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45218</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45218</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45218</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45218</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45218</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45218</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45218</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45218</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45218</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45218</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45218</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45218</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45218</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45218</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45218</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45218</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45218</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45218</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45218</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45218</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45218</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45218</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45218</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45218</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45218</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45218</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45218</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45218</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45218</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45218</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45218</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45218</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45218</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45218</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45218</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45218</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45218</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45218</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45218</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45218</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45218</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45218</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45218</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45218</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45218</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45218</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45218</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45218</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45218</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45218</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45218</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45218</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45218</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45218</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45218</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45218</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45218</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45218</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45218</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45218</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45218</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45218</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45218</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45218</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45218</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45218</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45218</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45218</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45218</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45218</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45218</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45218</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45218</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45218</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45218</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45218</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45218</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45218</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45218</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45218</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45218</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45218</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45218</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45218</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45218</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45218</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45218</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45218</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45218</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45218</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45218</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45218</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45218</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45218</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45218</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45218</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45218</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45218</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45218</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45218</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45218</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45218</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45218</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45218</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45218</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45218</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45218</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45218</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45218</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45218</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45218</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45218</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45218</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45218</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45218</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45218</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45218</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45218</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45218</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45218</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45218</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45218</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45218</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45218</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45218</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45218</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45218</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45218</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45218</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45218</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45218</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45218</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45218</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45218</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45218</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45218</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45218</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45218</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45218</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45218</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45218</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45218</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45218</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45218</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45218</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45218</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45218</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45218</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45218</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45218</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45218</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45218</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45218</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45218</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45218</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45218</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45218</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45218</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45218</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45218</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45218</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45218</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45218</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45218</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45218</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45218</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45218</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45218</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45218</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45218</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45218</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45218</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45218</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45218</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45218</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45218</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45218</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45218</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45218</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45218</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45218</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45218</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45218</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45218</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45218</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45218</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45218</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45218</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45218</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45218</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45218</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45218</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45218</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45218</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45218</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45218</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45218</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45218</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45218</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45218</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45218</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45218</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45218</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45218</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45218</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45218</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45218</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45218</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45218</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45218</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45218</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45218</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45218</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45218</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45218</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45218</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45218</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45218</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45218</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45218</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45218</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45218</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45218</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45218</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45218</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45218</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45218</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45218</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45218</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45218</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45218</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45218</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45218</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45218</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45218</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45218</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45218</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45218</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45218</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45218</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45218</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45218</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45218</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45218</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45218</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45218</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45218</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45218</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45218</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45218</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45218</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45218</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45218</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45218</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45218</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45218</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45218</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45218</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45218</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45218</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45218</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45218</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45218</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45218</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45218</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45218</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45218</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45218</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45218</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45218</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45218</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45218</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45218</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45218</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45218</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45218</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45218</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45218</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45218</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45218</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45218</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45218</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45218</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45218</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45218</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45218</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45218</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45218</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45218</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45218</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45218</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45218</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45218</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45218</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45218</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45218</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45218</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45218</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45218</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45218</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45218</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45218</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45218</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45218</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45218</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45218</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45218</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45218</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45218</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45218</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45218</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45218</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45218</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45218</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45218</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45218</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45218</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45218</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45218</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45218</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45218</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45218</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45218</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45218</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45218</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45218</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45218</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45218</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45218</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45218</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45218</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45218</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45218</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45218</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45218</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45218</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45218</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45218</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45218</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45218</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45218</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45218</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45218</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45218</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45218</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45218</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45218</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45218</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45218</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45218</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45218</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45218</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45218</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45218</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45218</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45218</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45218</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45218</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45218</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45218</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45218</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45218</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45218</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45218</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45218</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45218</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45218</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45218</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45218</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45218</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45218</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45218</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45218</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45218</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45218</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45218</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45218</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45218</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45218</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45218</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45218</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45218</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45218</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45218</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45218</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45218</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45218</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45218</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45218</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45218</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45218</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45218</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45218</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45218</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45218</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45218</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45218</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45218</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45218</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45218</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45218</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45218</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45218</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45218</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45218</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45218</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45218</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45218</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45218</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45218</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45218</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45218</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45218</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45218</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45218</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45218</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45218</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45218</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45218</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45218</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45218</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45218</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45218</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45218</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45218</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45218</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45218</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45218</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45218</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45218</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45218</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45218</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45218</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45218</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45218</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45218</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45218</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45218</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45218</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45218</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45218</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45218</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45218</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45218</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45218</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45218</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45218</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45218</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45218</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45218</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45218</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45218</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45218</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45218</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45218</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45218</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45218</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45218</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45218</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45218</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45218</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45218</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45218</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45218</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45218</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45218</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45218</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45218</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45218</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45218</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45218</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45218</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45218</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45218</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45218</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45218</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45218</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45218</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45218</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45218</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45218</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45218</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45218</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45218</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45218</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45218</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45218</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45218</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45218</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45218</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45218</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45218</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45218</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45218</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45218</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45218</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45218</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45218</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45218</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45218</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45218</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45218</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45218</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45218</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45218</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45218</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45218</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45218</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45218</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45218</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45218</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45218</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45218</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45218</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45218</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45218</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45218</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45218</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45218</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45218</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45218</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45218</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45218</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45218</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45218</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45218</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45218</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45218</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45218</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45218</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45218</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45218</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45218</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45218</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45218</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45218</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45218</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45218</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45218</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45218</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45218</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45218</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45218</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45218</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45218</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45218</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45218</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45218</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45218</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45218</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45218</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45218</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45218</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45218</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45218</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45218</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45218</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45218</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45218</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45218</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45218</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45218</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45218</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45218</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45218</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45218</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45218</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45218</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45218</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45218</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45218</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45218</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45218</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45218</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45218</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45218</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45218</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45218</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45218</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45218</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45218</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45218</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45218</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45218</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45218</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45218</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45218</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45218</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45218</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45218</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45218</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45218</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45218</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45218</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45218</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45218</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45218</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45218</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45218</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45218</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45218</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45218</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45218</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45218</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45218</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45218</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45218</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45218</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45218</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45218</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45218</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45218</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45218</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45218</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45218</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45218</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45218</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45218</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45218</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45218</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45218</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45218</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45218</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45218</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45218</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45218</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45218</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45218</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45218</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45218</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45218</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45218</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45218</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45218</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45218</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45218</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45218</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45218</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45218</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45218</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45218</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45218</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45218</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45218</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45218</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45218</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45218</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45218</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45218</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45218</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45218</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45218</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45218</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45218</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45218</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45218</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45218</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45218</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45218</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45218</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45218</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45218</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45218</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45218</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45218</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45218</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45218</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45218</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45218</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45218</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45218</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45218</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45218</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45218</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45218</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45218</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45218</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45218</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45218</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45218</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45218</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45218</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45218</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45218</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45218</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45218</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45218</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45218</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45218</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45218</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45218</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45218</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45218</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45218</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45218</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45218</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45218</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45218</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45218</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45218</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45218</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45218</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45218</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45218</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45218</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45218</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45218</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45218</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45218</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45218</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45218</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45218</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45218</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45218</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45218</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45218</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45218</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45218</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45218</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45218</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45218</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45218</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45218</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45218</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45218</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45218</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45218</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45218</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45218</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45218</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45218</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45218</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45218</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45218</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45218</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45218</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45218</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45218</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45218</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45218</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45218</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45218</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45218</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45218</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45218</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45218</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45218</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45218</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45218</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45218</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45218</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45218</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45218</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45218</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45218</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45218</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45218</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45218</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45218</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45218</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45218</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45218</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45218</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45218</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45218</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45218</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45218</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45218</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45218</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45218</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45218</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45218</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45218</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45218</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45218</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45218</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45218</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45218</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45218</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45218</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45218</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45218</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45218</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45218</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45218</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45218</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45218</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45218</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45218</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45218</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45218</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45218</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45218</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45218</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45218</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45218</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45218</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45218</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45218</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45218</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45218</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45218</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45218</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45218</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45218</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45218</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45218</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45218</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45218</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45218</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45218</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45218</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45218</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45218</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45218</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45218</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45218</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45218</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45218</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45218</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45218</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45218</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45218</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45218</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45218</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45218</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45218</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45218</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45218</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45218</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45218</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45218</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45218</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45218</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45218</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45218</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45218</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45218</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45218</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45218</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45218</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45218</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45218</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45218</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45218</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45218</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45218</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45218</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45218</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45218</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45218</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45218</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45218</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45218</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45218</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45218</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45218</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45218</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45218</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45218</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45218</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45218</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45218</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45218</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45218</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45218</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45218</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45218</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45218</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45218</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45218</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45218</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45218</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45218</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45218</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45218</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45218</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45218</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45218</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45218</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45218</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45218</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45218</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45218</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45218</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45218</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45218</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45218</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45218</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45218</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45218</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45218</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45218</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45218</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45218</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45218</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45218</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45218</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45218</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45218</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45218</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45218</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45218</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45218</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45218</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45218</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45218</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45218</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45218</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45218</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45218</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45218</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45218</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45218</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45218</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45218</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45218</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45218</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45218</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45218</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45218</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45218</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45218</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45218</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45218</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45218</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45218</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45218</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45218</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45218</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45218</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45218</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45218</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45218</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45218</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45218</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45218</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45218</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45218</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45218</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45218</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45218</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45218</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45218</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45218</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45218</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45218</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45218</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45218</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45218</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45218</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45218</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45218</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45218</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45218</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45218</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45218</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45218</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45218</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45218</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45218</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45218</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45218</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45218</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45218</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45218</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45218</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45218</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45218</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45218</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45218</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45218</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45218</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45218</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45218</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45218</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45218</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45218</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45218</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45218</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45218</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45218</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45218</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45218</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45218</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45218</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45218</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45218</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45218</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45218</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45218</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45218</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45218</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45218</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45218</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45218</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45218</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45218</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45218</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45218</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45218</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45218</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45218</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45218</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45218</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45218</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45218</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45218</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45218</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45218</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45218</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45218</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45218</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45218</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45218</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45218</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45218</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45218</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45218</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45218</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45218</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45218</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45218</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45218</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45218</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45218</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45218</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45218</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45218</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45218</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45218</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45218</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45218</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45218</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45218</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45218</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45218</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45218</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45218</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45218</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45218</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45218</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45218</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45218</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45218</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45218</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45218</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45218</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45218</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45218</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45218</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45218</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45218</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45218</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45218</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45218</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45218</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45218</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45218</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45218</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45218</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45218</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45218</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45218</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45218</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45218</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45218</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45218</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45218</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45218</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45218</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45218</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45218</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45218</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45218</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45218</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45218</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45218</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45218</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45218</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45218</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45218</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45218</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45218</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45218</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45218</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45218</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45218</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45218</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45218</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45218</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45218</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45218</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45218</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45218</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45218</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45218</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45218</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45218</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45218</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45218</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45218</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45218</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45218</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45218</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45218</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45218</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45218</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45218</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45218</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45218</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45218</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45218</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45218</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45218</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45218</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45218</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45218</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45218</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45218</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45218</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45218</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45218</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45218</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45218</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45218</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45218</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45218</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45218</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45218</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45218</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45218</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45218</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45218</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45218</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45218</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45218</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45218</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45218</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45218</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45218</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45218</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45218</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45218</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45218</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45218</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45218</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45218</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45218</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45218</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45218</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45218</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45218</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45218</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45218</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45218</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45218</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45218</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45218</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45218</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45218</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45218</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45218</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45218</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45218</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45218</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45218</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45218</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45218</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45218</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45218</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45218</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45218</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45218</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45218</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45218</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45218</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45218</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45218</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45218</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45218</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45218</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45218</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45218</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45218</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45218</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45218</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45218</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45218</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45218</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45218</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45218</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45218</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45218</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45218</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45218</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45218</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45218</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45218</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45218</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45218</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45218</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45218</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45218</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45218</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45218</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45218</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45218</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45218</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45218</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45218</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45218</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45218</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45218</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45218</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45218</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45218</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45218</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45218</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45218</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45218</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45218</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45218</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45218</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45218</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45218</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45218</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45218</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45218</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45218</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45218</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45218</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45218</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45218</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45218</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45218</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45218</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45218</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45218</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45218</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45218</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45218</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45218</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45218</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45218</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45218</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45218</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45218</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45218</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45218</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45218</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45218</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45218</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45218</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45218</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45218</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45218</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45218</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45218</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45218</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45218</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45218</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45218</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45218</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45218</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45218</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45218</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45218</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45218</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45218</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45218</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45218</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45218</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45218</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45218</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45218</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45218</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45218</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45218</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45218</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45218</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45218</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45218</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45218</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45218</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45218</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45218</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45218</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45218</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45218</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45218</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45218</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45218</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45218</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45218</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45218</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45218</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45218</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45218</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45218</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45218</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45218</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45218</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45218</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45218</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45218</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45218</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45218</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45218</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45218</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45218</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45218</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45218</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45218</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45218</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45218</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45218</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45218</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45218</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45218</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45218</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45218</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45218</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45218</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45218</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45218</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45218</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45218</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45218</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45218</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45218</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45218</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45218</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45218</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45218</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45218</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45218</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45218</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45218</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45218</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45218</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45218</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45218</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45218</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45218</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45218</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45218</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45218</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45218</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45218</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45218</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45218</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45218</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45218</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45218</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45218</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45218</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45218</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45218</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45218</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45218</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45218</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45218</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45218</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45218</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45218</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45218</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45218</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45218</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45218</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45218</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45218</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45218</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45218</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45218</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45218</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45218</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45218</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45218</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45218</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45218</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45218</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45218</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45218</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45218</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45218</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45218</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45218</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45218</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45218</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45218</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45218</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45218</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45218</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45218</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45218</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45218</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45218</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45218</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45218</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45218</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45218</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45218</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45218</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45218</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45218</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45218</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45218</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45218</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45218</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45218</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45218</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45218</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45218</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45218</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45218</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45218</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45218</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45218</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45218</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45218</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45218</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45218</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45218</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45218</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45218</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45218</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45218</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45218</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45218</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45218</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45218</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45218</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45218</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45218</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45218</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45218</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45218</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45218</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45218</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45218</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45218</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45218</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45218</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45218</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45218</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45218</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45218</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45218</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45218</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45218</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45218</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45218</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45218</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45218</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45218</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45218</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45218</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45218</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45218</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45218</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45218</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45218</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45218</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45218</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45218</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45218</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45218</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45218</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45218</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45218</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45218</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45218</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45218</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45218</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45218</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45218</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45218</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45218</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45218</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45218</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45218</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45218</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45218</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45218</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45218</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45218</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45218</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45218</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45218</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45218</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45218</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45218</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45218</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45218</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45218</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45218</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45218</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45218</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45218</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45218</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45218</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45218</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45218</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45218</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45218</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45218</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45218</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45218</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45218</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45218</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45218</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45218</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45218</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45218</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45218</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45218</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45218</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45218</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45218</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45218</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45218</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45218</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45218</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45218</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45218</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45218</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45218</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45218</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45218</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45218</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45218</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45218</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45218</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45218</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45218</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45218</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45218</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45218</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45218</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45218</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45218</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45218</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45218</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45218</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45218</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45218</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45218</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45218</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45218</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45218</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45218</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45218</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45218</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45218</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45218</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45218</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45218</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45218</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45218</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45218</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45218</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45218</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45218</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45218</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45218</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45218</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45218</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45218</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45218</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45218</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45218</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45218</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45218</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45218</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45218</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45218</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45218</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45218</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45218</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45218</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45218</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45218</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45218</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45218</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45218</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45218</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45218</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45218</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45218</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45218</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45218</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45218</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45218</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45218</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45218</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45218</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45218</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45218</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45218</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45218</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45218</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45218</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45218</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45218</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45218</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45218</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45218</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45218</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45218</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45218</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45218</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45218</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45218</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45218</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45218</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45218</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45218</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45218</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45218</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45218</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45218</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45218</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45218</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45218</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45218</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45218</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45218</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45218</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45218</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45218</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45218</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45218</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45218</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45218</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45218</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45218</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45218</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45218</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45218</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45218</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45218</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45218</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45218</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45218</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45218</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45218</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45218</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45218</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45218</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45218</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45218</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45218</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45218</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45218</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45218</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45218</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45218</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45218</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45218</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45218</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45218</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45218</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45218</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45218</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45218</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45218</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45218</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45218</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45218</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45218</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45218</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45218</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45218</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45218</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45218</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45218</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45218</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45218</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45218</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45218</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45218</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45218</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45218</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45218</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45218</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45218</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45218</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45218</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45218</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45218</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45218</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45218</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45218</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45218</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45218</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45218</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45218</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45218</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45218</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45218</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45218</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45218</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45218</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45218</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45218</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45218</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45218</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45218</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45218</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45218</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45218</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45218</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45218</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45218</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45218</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45218</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45218</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45218</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45218</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45218</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45218</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45218</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45218</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45218</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45218</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45218</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45218</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45218</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45218</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45218</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45218</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45218</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45218</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45218</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45218</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45218</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45218</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45218</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45218</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45218</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45218</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45218</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45218</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45218</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45218</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45218</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45218</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45218</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45218</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45218</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45218</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45218</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45218</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45218</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45218</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45218</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45218</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45218</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45218</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45218</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45218</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45218</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45218</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45218</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45218</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45218</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45218</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45218</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45218</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45218</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45218</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45218</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45218</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45218</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45218</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45218</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45218</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45218</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45218</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45218</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45218</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45218</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45218</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45218</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45218</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45218</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45218</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45218</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45218</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45218</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45218</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45218</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45218</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45218</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45218</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45218</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45218</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45218</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45218</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45218</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45218</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45218</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45218</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45218</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45218</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45218</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45218</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45218</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45218</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45218</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45218</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45218</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45218</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45218</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45218</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45218</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45218</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45218</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45218</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45218</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45218</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45218</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45218</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45218</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45218</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45218</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45218</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45218</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45218</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45218</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45218</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45218</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45218</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45218</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45218</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45218</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45218</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45218</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45218</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45218</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45218</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45218</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45218</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45218</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45218</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45218</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45218</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45218</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45218</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45218</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45218</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45218</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45218</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45218</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45218</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45218</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45218</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45218</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45218</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45218</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45218</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45218</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45218</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45218</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45218</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45218</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45218</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45218</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45218</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45218</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45218</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45218</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45218</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45218</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45218</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45218</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45218</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45218</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45218</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45218</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45218</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45218</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45218</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45218</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45218</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45218</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45218</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45218</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45218</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45218</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45218</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45218</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45218</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45218</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45218</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45218</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45218</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45218</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45218</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45218</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45218</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45218</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45218</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45218</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45218</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45218</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45218</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45218</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45218</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45218</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45218</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45218</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45218</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45218</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45218</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45218</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45218</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45218</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45218</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45218</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45218</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45218</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45218</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45218</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45218</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45218</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45218</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45218</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45218</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45218</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45218</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45218</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45218</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45218</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45218</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45218</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45218</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45218</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45218</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45218</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45218</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45218</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45218</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45218</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45218</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45218</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45218</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45218</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45218</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45218</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45218</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45218</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45218</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45218</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45218</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45218</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45218</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45218</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45218</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45218</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45218</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45218</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45218</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45218</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45218</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45218</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45218</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45218</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45218</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45218</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45218</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45218</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45218</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45218</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45218</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45218</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45218</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45218</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45218</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45218</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45218</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45218</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45218</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45218</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45218</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45218</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45218</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45218</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45218</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45218</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45218</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45218</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45218</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45218</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45218</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45218</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45218</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45218</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45218</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45218</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45218</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45218</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45218</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45218</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45218</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45218</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45218</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45218</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45218</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45218</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45218</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45218</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45218</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45218</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45218</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45218</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45218</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45218</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45218</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45218</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45218</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45218</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45218</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45218</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45218</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45218</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45218</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45218</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45218</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45218</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45218</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45218</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45218</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45218</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45218</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45218</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45218</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45218</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45218</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45218</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45218</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45218</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45218</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45218</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45218</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45218</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45218</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45218</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45218</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45218</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45218</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45218</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45218</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45218</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45218</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45218</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45218</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45218</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45218</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45218</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45218</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45218</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45218</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45218</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45218</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45218</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45218</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45218</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45218</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45218</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45218</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45218</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45218</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45218</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45218</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45218</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45218</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45218</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45218</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45218</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45218</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45218</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45218</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45218</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45218</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45218</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45218</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45218</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45218</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45218</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45218</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45218</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45218</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45218</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45218</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45218</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45218</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45218</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45218</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45218</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45218</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45218</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45218</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45218</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45218</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45218</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45218</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45218</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45218</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45218</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45218</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45218</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45218</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45218</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45218</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45218</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45218</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45218</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45218</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45218</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45218</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45218</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45218</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45218</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45218</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45218</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45218</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45218</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45218</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45218</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45218</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45218</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45218</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45218</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45218</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45218</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45218</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45218</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45218</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45218</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45218</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45218</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45218</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45218</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45218</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45218</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45218</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45218</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45218</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45218</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45218</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45218</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45218</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45218</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45218</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45218</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45218</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45218</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45218</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45218</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45218</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45218</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45218</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45218</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45218</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45218</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45218</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45218</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45218</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45218</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45218</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45218</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45218</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45218</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45218</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45218</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45218</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45218</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45218</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45218</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45218</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45218</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45218</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45218</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45218</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45218</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45218</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45218</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45218</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45218</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45218</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45218</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45218</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45218</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45218</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45218</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45218</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45218</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45218</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45218</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45218</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45218</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45218</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45218</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45218</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45218</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45218</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45218</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45218</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45218</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45218</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45218</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45218</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45218</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45218</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45218</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45218</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45218</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45218</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45218</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45218</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45218</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45218</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45218</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45218</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45218</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45218</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45218</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45218</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45218</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45218</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45218</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45218</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45218</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45218</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45218</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45218</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45218</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45218</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45218</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45218</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45218</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45218</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45218</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45218</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45218</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45218</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45218</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45218</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45218</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45218</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45218</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45218</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45218</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45218</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45218</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45218</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45218</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45218</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45218</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45218</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45218</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45218</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45218</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45218</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45218</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45218</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45218</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45218</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45218</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45218</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45218</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45218</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45218</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45218</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45218</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45218</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45218</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45218</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45218</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45218</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45218</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45218</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45218</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45218</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45218</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45218</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45218</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45218</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45218</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45218</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45218</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45218</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45218</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45218</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45218</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45218</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45218</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45218</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45218</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45218</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45218</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45218</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45218</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45218</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45218</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45218</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45218</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45218</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45218</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45218</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45218</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45218</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45218</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45218</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45218</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45218</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45218</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45218</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45218</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45218</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45218</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45218</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45218</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45218</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45218</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45218</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45218</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45218</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45218</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45218</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45218</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45218</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45218</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45218</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45218</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45218</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45218</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45218</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45218</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45218</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45218</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45218</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45218</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45218</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45218</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45218</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45218</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45218</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45218</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45218</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45218</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45218</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45218</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45218</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45218</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45218</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45218</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45218</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45218</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45218</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45218</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45218</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45218</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45218</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45218</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45218</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45218</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45218</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45218</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45218</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45218</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45218</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45218</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45218</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45218</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45218</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45218</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45218</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45218</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45218</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45218</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45218</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45218</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45218</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45218</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45218</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45218</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45218</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45218</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45218</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45218</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45218</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45218</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45218</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45218</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45218</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45218</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45218</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45218</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45218</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45218</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45218</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45218</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45218</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45218</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45218</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45218</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45218</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45218</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45218</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45218</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45218</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45218</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45218</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45218</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45218</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45218</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45218</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45218</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45218</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45218</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45218</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45218</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45218</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45218</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45218</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45218</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45218</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45218</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45218</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45218</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45218</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45218</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45218</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45218</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45218</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45218</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45218</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45218</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45218</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45218</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45218</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45218</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45218</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45218</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45218</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45218</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45218</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45218</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45218</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45218</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45218</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45218</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45218</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45218</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45218</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45218</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45218</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45218</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45218</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45218</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45218</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45218</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45218</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45218</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45218</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45218</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45218</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45218</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45218</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45218</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45218</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45218</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45218</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45218</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45218</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45218</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45218</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45218</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45218</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45218</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45218</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45218</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45218</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45218</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45218</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45218</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45218</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45218</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45218</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45218</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45218</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45218</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45218</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45218</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45218</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45218</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45218</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45218</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45218</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45218</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45218</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45218</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45218</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45218</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45218</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45218</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45218</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45218</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45218</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45218</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45218</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45218</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45218</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45218</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45218</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45218</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45218</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45218</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45218</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45218</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45218</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45218</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45218</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45218</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45218</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45218</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45218</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45218</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45218</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45218</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45218</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45218</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45218</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45218</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45218</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45218</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45218</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45218</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45218</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45218</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45218</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45218</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45218</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45218</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45218</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45218</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45218</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45218</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45218</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45218</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45218</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45218</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45218</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45218</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45218</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45218</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45218</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45218</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45218</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45218</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45218</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45218</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45218</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45218</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45218</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45218</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45218</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45218</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45218</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45218</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45218</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45218</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45218</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45218</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45218</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45218</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45218</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45218</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45218</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45218</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45218</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45218</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45218</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45218</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45218</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45218</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45218</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45218</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45218</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45218</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45218</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45218</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45218</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45218</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45218</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45218</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45218</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45218</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45218</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45218</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45218</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45218</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45218</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45218</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45218</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45218</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45218</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45218</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45218</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45218</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45218</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45218</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45218</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45218</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45218</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45218</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45218</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45218</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45218</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45218</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45218</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45218</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45218</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45218</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45218</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45218</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45218</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45218</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45218</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45218</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45218</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45218</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45218</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45218</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45218</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45218</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45218</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45218</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45218</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45218</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45218</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45218</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45218</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45218</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45218</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45218</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45218</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45218</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45218</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45218</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45218</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45218</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45218</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45218</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45218</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45218</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45218</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45218</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45218</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45218</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45218</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45218</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45218</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45218</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45218</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45218</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45218</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45218</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45218</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45218</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45218</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45218</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45218</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45218</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45218</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45218</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45218</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45218</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45218</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45218</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45218</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45218</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45218</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45218</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45218</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45218</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45218</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45218</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45218</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45218</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45218</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45218</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45218</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45218</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45218</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45218</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45218</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45218</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45218</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45218</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45218</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45218</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45218</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45218</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45218</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45218</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45218</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45218</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45218</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45218</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45218</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45218</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45218</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45218</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45218</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45218</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45218</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45218</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45218</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45218</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45218</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45218</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45218</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45218</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45218</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45218</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45218</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45218</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45218</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45218</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45218</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45218</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45218</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45218</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45218</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45218</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45218</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45218</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45218</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45218</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45218</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45218</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45218</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45218</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45218</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45218</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45218</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45218</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45218</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45218</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45218</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45218</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45218</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45218</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45218</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45218</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45218</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45218</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45218</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45218</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45218</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45218</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45218</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45218</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45218</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45218</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45218</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45218</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45218</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45218</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45218</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45218</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45218</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45218</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45218</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45218</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45218</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45218</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45218</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45218</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45218</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45218</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45218</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45218</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45218</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45218</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45218</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45218</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45218</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45218</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45218</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45218</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45218</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45218</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45218</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45218</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45218</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45218</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45218</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45218</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45218</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45218</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45218</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45218</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45218</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45218</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45218</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45218</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45218</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45218</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45218</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45218</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45218</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45218</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45218</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45218</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45218</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45218</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45218</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45218</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45218</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45218</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45218</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45218</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45218</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45218</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45218</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45218</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45218</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45218</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45218</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45218</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45218</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45218</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45218</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45218</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45218</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45218</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45218</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45218</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45218</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45218</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45218</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45218</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45218</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45218</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45218</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45218</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45218</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45218</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45218</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45218</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45218</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45218</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45218</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45218</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45218</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45218</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45218</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45218</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45218</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45218</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45218</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45218</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45218</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45218</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45218</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45218</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45218</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45218</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45218</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45218</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45218</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45218</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45218</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45218</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45218</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45218</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45218</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45218</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45218</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45218</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45218</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45218</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45218</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45218</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45218</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45218</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45218</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45218</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45218</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45218</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45218</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45218</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45218</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45218</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45218</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45218</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45218</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45218</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45218</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45218</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45218</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45218</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45218</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45218</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45218</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45218</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45218</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45218</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45218</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45218</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45218</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45218</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45218</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45218</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45218</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45218</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45218</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45218</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45218</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45218</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45218</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45218</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45218</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45218</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45218</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45218</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45218</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45218</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45218</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45218</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45218</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45218</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45218</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45218</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45218</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45218</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45218</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45218</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45218</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45218</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45218</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45218</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45218</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45218</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45218</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45218</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45218</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45218</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45218</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45218</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45218</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45218</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45218</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45218</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45218</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45218</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45218</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45218</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45218</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45218</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45218</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45218</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45218</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45218</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45218</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45218</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45218</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45218</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45218</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45218</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45218</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45218</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45218</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45218</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45218</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45218</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45218</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45218</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45218</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45218</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45218</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45218</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45218</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45218</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45218</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45218</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45218</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45218</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45218</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45218</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45218</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45218</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45218</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45218</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45218</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45218</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45218</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45218</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45218</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45218</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45218</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45218</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45218</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45218</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45218</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45218</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45218</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45218</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45218</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45218</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45218</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45218</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45218</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45218</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45218</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45218</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45218</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45218</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45218</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45218</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45218</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45218</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45218</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45218</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45218</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45218</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45218</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45218</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45218</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45218</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45218</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45218</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45218</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45218</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45218</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45218</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45218</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45218</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45218</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45218</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45218</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45218</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45218</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45218</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45218</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45218</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45218</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45218</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45218</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45218</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45218</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45218</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45218</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45218</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45218</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45218</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45218</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45218</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45218</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45218</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45218</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45218</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45218</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45218</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45218</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45218</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45218</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45218</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45218</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45218</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45218</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45218</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45218</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45218</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45218</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45218</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45218</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45218</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45218</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45218</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45218</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45218</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45218</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45218</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45218</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45218</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45218</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45218</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45218</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45218</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45218</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45218</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45218</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45218</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45218</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45218</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45218</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45218</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45218</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45218</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45218</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45218</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45218</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45218</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45218</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45218</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45218</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45218</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45218</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45218</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45218</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45218</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45218</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45218</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45218</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45218</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45218</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45218</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45218</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45218</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45218</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45218</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45218</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45218</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45218</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45218</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45218</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45218</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45218</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45218</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45218</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45218</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45218</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45218</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45218</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45218</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45218</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45218</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45218</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45218</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45218</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45218</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45218</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45218</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45218</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45218</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45218</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45218</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45218</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45218</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45218</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45218</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45218</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45218</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45218</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45218</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45218</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45218</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45218</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45218</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45218</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45218</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45218</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45218</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45218</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45218</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45218</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45218</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45218</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45218</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45218</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45218</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45218</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45218</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45218</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45218</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45218</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45218</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45218</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45218</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45218</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45218</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45218</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45218</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45218</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45218</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45218</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45218</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45218</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45218</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45218</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45218</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45218</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45218</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45218</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45218</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45218</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45218</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45218</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45218</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45218</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45218</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45218</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45218</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45218</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45218</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45218</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45218</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45218</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45218</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45218</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45218</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45218</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45218</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45218</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45218</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45218</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45218</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45218</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45218</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45218</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45218</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45218</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45218</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45218</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45218</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45218</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45218</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45218</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45218</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45218</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45218</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45218</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45218</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45218</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45218</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45218</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45218</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45218</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45218</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45218</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45218</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45218</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45218</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45218</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45218</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45218</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45218</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45218</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45218</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45218</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45218</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45218</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45218</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45218</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45218</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45218</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45218</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45218</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45218</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45218</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45218</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45218</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45218</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45218</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45218</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45218</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45218</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45218</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45218</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45218</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45218</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45218</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45218</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45218</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45218</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45218</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45218</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45218</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45218</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45218</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45218</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45218</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45218</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45218</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45218</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45218</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45218</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45218</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45218</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45218</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45218</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45218</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45218</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45218</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45218</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45218</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45218</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45218</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45218</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45218</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45218</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45218</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45218</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45218</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45218</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45218</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45218</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45218</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45218</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45218</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45218</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45218</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45218</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45218</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45218</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45218</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45218</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45218</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45218</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45218</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45218</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45218</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45218</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45218</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45218</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45218</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45218</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45218</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45218</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45218</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45218</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45218</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45218</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45218</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45218</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45218</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45218</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45218</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45218</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45218</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45218</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45218</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45218</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45218</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45218</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45218</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45218</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45218</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45218</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45218</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45218</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45218</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45218</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45218</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45218</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45218</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45218</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45218</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45218</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45218</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45218</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45218</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45218</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45218</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45218</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45218</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45218</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45218</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45218</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45218</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45218</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45218</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45218</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45218</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45218</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45218</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45218</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45218</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45218</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45218</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45218</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45218</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45218</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45218</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45218</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45218</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45218</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45218</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45218</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45218</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45218</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45218</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45218</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45218</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45218</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45218</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45218</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45218</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45218</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45218</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45218</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45218</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45218</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45218</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45218</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45218</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45218</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45218</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45218</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45218</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45218</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45218</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45218</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45218</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45218</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45218</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45218</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45218</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45218</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45218</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45218</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45218</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45218</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45218</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45218</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45218</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45218</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45218</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45218</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45218</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45218</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45218</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45218</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45218</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45218</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45218</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45218</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45218</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45218</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45218</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45218</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45218</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45218</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45218</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45218</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45218</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45218</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45218</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45218</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45218</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45218</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45218</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45218</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45218</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45218</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45218</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45218</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45218</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45218</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45218</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45218</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45218</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45218</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45218</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45218</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45218</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45218</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45218</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45218</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45218</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45218</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45218</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45218</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45218</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45218</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45218</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45218</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45218</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45218</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45218</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45218</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45218</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45218</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45218</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45218</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45218</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45218</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45218</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45218</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45218</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45218</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45218</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45218</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45218</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45218</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45218</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45218</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45218</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45218</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45218</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45218</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45218</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45218</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45218</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45218</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45218</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45218</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45218</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45218</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45218</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45218</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45218</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45218</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45218</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45218</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45218</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45218</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45218</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45218</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45218</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45218</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45218</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45218</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45218</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45218</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45218</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45218</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45218</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45218</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45218</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45218</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45218</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45218</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45218</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45218</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45218</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45218</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45218</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45218</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45218</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45218</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45218</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45218</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45218</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45218</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45218</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45218</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45218</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45218</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45218</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45218</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45218</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45218</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45218</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45218</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45218</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45218</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45218</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45218</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45218</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45218</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45218</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45218</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45218</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45218</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45218</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45218</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45218</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45218</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45218</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45218</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45218</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45218</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45218</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45218</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45218</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45218</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45218</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45218</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45218</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45218</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45218</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45218</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45218</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45218</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45218</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45218</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45218</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45218</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45218</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45218</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45218</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45218</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45218</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45218</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45218</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45218</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45218</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45218</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45218</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45218</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45218</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45218</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45218</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45218</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45218</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45218</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45218</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45218</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45218</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45218</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45218</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45218</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45218</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45218</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45218</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45218</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45218</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45218</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45218</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45218</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45218</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45218</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45218</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45218</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45218</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45218</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45218</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45218</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45218</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45218</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45218</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45218</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45218</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45218</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45218</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45218</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45218</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45218</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45218</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45218</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45218</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45218</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45218</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45218</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45218</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45218</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45218</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45218</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45218</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45218</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45218</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45218</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45218</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45218</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45218</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45218</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45218</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45218</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45218</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45218</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45218</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45218</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45218</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45218</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45218</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45218</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45218</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45218</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45218</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45218</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45218</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45218</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45218</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45218</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45218</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45218</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45218</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45218</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45218</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45218</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45218</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45218</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45218</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45218</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45218</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45218</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45218</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45218</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45218</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45218</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45218</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45218</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45218</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45218</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45218</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45218</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45218</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45218</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45218</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45218</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45218</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45218</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45218</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45218</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45218</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45218</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45218</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45218</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45218</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45218</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45218</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45218</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45218</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45218</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45218</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45218</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45218</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45218</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45218</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45218</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45218</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45218</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45218</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45218</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45218</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45218</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45218</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45218</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45218</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45218</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45218</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45218</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45218</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45218</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45218</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45218</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45218</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45218</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45218</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45218</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45218</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45218</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45218</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45218</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45218</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45218</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45218</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45218</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45218</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45218</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45218</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45218</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45218</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45218</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45218</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45218</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45218</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45218</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45218</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45218</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45218</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45218</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45218</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45218</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45218</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45218</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45218</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45218</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45218</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45218</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45218</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45218</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45218</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45218</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45218</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45218</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45218</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45218</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45218</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45218</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45218</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45218</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45218</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45218</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45218</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45218</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45218</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45218</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45218</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45218</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45218</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45218</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45218</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45218</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45218</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45218</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45218</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45218</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45218</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45218</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45218</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45218</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45218</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45218</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45218</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45218</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45218</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45218</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45218</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45218</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45218</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45218</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45218</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45218</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45218</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45218</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45218</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45218</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45218</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45218</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45218</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45218</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45218</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45218</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45218</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45218</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45218</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45218</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45218</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45218</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45218</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45218</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45218</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45218</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45218</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45218</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45218</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45218</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45218</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45218</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45218</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45218</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45218</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45218</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45218</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45218</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45218</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45218</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45218</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45218</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45218</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45218</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45218</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45218</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45218</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45218</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45218</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45218</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45218</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45218</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45218</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45218</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45218</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45218</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45218</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45218</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45218</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45218</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45218</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45218</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45218</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45218</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45218</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45218</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45218</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45218</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45218</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45218</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45218</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45218</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45218</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45218</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45218</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45218</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45218</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45218</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45218</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45218</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45218</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45218</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45218</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45218</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45218</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45218</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45218</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45218</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45218</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45218</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45218</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45218</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45218</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45218</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45218</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45218</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45218</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45218</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45218</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45218</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45218</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45218</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45218</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45218</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45218</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45218</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45218</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45218</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45218</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45218</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45218</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45218</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45218</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45218</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45218</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45218</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45218</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45218</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45218</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45218</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45218</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45218</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45218</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45218</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45218</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45218</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45218</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45218</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45218</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45218</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45218</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45218</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45218</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45218</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45218</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45218</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45218</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45218</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45218</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45218</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45218</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45218</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45218</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45218</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45218</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45218</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45218</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45218</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45218</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45218</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45218</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45218</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45218</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45218</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45218</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45218</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45218</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45218</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45218</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45218</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45218</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45218</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45218</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45218</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45218</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45218</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45218</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45218</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45218</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45218</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45218</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45218</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45218</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45218</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45218</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45218</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45218</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45218</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45218</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45218</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45218</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45218</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45218</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45218</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45218</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45218</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45218</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45218</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45218</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45218</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45218</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45218</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45218</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45218</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45218</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45218</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45218</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45218</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45218</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45218</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45218</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45218</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45218</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45218</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45218</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45218</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45218</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45218</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45218</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45218</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45218</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45218</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45218</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45218</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45218</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45218</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45218</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45218</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45218</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45218</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45218</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45218</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45218</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45218</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45218</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45218</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45218</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45218</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45218</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45218</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45218</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45218</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45218</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45218</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45218</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45218</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45218</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45218</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45218</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45218</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45218</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45218</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45218</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45218</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45218</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45218</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45218</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45218</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45218</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45218</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45218</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45218</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45218</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45218</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45218</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45218</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45218</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45218</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45218</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45218</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45218</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45218</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45218</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45218</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45218</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45218</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45218</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45218</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45218</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45218</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45218</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45218</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45218</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45218</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45218</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45218</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45218</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45218</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45218</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45218</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45218</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45218</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45218</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45218</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45218</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45218</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45218</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45218</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45218</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45218</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45218</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45218</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45218</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45218</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45218</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45218</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45218</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45218</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45218</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45218</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45218</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45218</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45218</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45218</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45218</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45218</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45218</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45218</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45218</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45218</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45218</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45218</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45218</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45218</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45218</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45218</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45218</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45218</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45218</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45218</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45218</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45218</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45218</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45218</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45218</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45218</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45218</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45218</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45218</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45218</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45218</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45218</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45218</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45218</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45218</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45218</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45218</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45218</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45218</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45218</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45218</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45218</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45218</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45218</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45218</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45218</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45218</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45218</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45218</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45218</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45218</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45218</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45218</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45218</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45218</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45218</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45218</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45218</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45218</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45218</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45218</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45218</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45218</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45218</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45218</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45218</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45218</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45218</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45218</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45218</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45218</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45218</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45218</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45218</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45218</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45218</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45218</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45218</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45218</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45218</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45218</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45218</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45218</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45218</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45218</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45218</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45218</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45218</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45218</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45218</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45218</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45218</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45218</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45218</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45218</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45218</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45218</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45218</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45218</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45218</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45218</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45218</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45218</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45218</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45218</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45218</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45218</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45218</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45218</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45218</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45218</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45218</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45218</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45218</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45218</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45218</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45218</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45218</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45218</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45218</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45218</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45218</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45218</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45218</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45218</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45218</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45218</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45218</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45218</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45218</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45218</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45218</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45218</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45218</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45218</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45218</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45218</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45218</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45218</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45218</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45218</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45218</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45218</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45218</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45218</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45218</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45218</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45218</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45218</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45218</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45218</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45218</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45218</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45218</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45218</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45218</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45218</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45218</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45218</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45218</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45218</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45218</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45218</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45218</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45218</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45218</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45218</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45218</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45218</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45218</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45218</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45218</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45218</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45218</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45218</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45218</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45218</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45218</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45218</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45218</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45218</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45218</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45218</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45218</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45218</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45218</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45218</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45218</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45218</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45218</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45218</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45218</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45218</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45218</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45218</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45218</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45218</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45218</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45218</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45218</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45218</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45218</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45218</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45218</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45218</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45218</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45218</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45218</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45218</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45218</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45218</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45218</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45218</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45218</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45218</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45218</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45218</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45218</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45218</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45218</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45218</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45218</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45218</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45218</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45218</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45218</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45218</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45218</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45218</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45218</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45218</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45218</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45218</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45218</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45218</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45218</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45218</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45218</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45218</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45218</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45218</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45218</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45218</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45218</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45218</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45218</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45218</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45218</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45218</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45218</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45218</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45218</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45218</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45218</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45218</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45218</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45218</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45218</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45218</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45218</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45218</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45218</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45218</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45218</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45218</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45218</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45218</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45218</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45218</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45218</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45218</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45218</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45218</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45218</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45218</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45218</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45218</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45218</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45218</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45218</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45218</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45218</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45218</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45218</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45218</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45218</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45218</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45218</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45218</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45218</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45218</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45218</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45218</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45218</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45218</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45218</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45218</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45218</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45218</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45218</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45218</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45218</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45218</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45218</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45218</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45218</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45218</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45218</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45218</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45218</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45218</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45218</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45218</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45218</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45218</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45218</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45218</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45218</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45218</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45218</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45218</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45218</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45218</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45218</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45218</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45218</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45218</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45218</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45218</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45218</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45218</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45218</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45218</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45218</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45218</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45218</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45218</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45218</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45218</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45218</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45218</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45218</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45218</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45218</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45218</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45218</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45218</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45218</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45218</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45218</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45218</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45218</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45218</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45218</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45218</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45218</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45218</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45218</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45218</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45218</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45218</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45218</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45218</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45218</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45218</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45218</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45218</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45218</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45218</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45218</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45218</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45218</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45218</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45218</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45218</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45218</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45218</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45218</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45218</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45218</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45218</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45218</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45218</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45218</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45218</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45218</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45218</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45218</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45218</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45218</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45218</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45218</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45218</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45218</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45218</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45218</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45218</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45218</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45218</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45218</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45218</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45218</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45218</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45218</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45218</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45218</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45218</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45218</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45218</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45218</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45218</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45218</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45218</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45218</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45218</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45218</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45218</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45218</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45218</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45218</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45218</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45218</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45218</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45218</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45218</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45218</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45218</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45218</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45218</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45218</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45218</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45218</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45218</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45218</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45218</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45218</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45218</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45218</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45218</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45218</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45218</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45218</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45218</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45218</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45218</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45218</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45218</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45218</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45218</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45218</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45218</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45218</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45218</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45218</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45218</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45218</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45218</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45218</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45218</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45218</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45218</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45218</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45218</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45218</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45218</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45218</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45218</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45218</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45218</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45218</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45218</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45218</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45218</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45218</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45218</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45218</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45218</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45218</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45218</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45218</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45218</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45218</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45218</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45218</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45218</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45218</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45218</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45218</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45218</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45218</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45218</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45218</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45218</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45218</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45218</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45218</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45218</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45218</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45218</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45218</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45218</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45218</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45218</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45218</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45218</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45218</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45218</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45218</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45218</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45218</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45218</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45218</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45218</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45218</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45218</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45218</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45218</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45218</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45218</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45218</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45218</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45218</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45218</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45218</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45218</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45218</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45218</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45218</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45218</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45218</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45218</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45218</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45218</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45218</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45218</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45218</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45218</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45218</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45218</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45218</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45218</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45218</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45218</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45218</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45218</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45218</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45218</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45218</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45218</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45218</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45218</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45218</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45218</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45218</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45218</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45218</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45218</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45218</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45218</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45218</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45218</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45218</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45218</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45218</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45218</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45218</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45218</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45218</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45218</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45218</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45218</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45218</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45218</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45218</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45218</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45218</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45218</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45218</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45218</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45218</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45218</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45218</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45218</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45218</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45218</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45218</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45218</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45218</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45218</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45218</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45218</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45218</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45218</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45218</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45218</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45218</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45218</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45218</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45218</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45218</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45218</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45218</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45218</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45218</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45218</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45218</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45218</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45218</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45218</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45218</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45218</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45218</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45218</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45218</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45218</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45218</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45218</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45218</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45218</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45218</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45218</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45218</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45218</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45218</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45218</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45218</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45218</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45218</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45218</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45218</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45218</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45218</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45218</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45218</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45218</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45218</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45218</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45218</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45218</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45218</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45218</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45218</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45218</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45218</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45218</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45218</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45218</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45218</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45218</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45218</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45218</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45218</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45218</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45218</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45218</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45218</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45218</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45218</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45218</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45218</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45218</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45218</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45218</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45218</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45218</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45218</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45218</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45218</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45218</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45218</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45218</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45218</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45218</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45218</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45218</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45218</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45218</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45218</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45218</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45218</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45218</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45218</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45218</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45218</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45218</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45218</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45218</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45218</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45218</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45218</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45218</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2023-10-19T04:56:29Z</dcterms:created>
  <dcterms:modified xmlns:dcterms="http://purl.org/dc/terms/" xmlns:xsi="http://www.w3.org/2001/XMLSchema-instance" xsi:type="dcterms:W3CDTF">2023-10-19T04:56:32Z</dcterms:modified>
</cp:coreProperties>
</file>