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45215</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45215</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45215</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45215</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45215</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45215</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45215</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45215</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45215</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45215</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45215</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45215</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45215</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45215</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45215</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45215</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45215</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45215</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45215</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45215</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45215</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45215</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45215</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45215</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45215</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45215</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45215</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45215</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45215</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45215</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45215</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45215</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45215</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45215</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45215</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45215</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45215</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45215</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45215</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45215</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45215</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45215</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45215</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45215</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45215</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45215</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45215</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45215</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45215</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45215</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45215</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45215</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45215</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45215</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45215</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45215</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45215</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45215</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45215</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45215</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45215</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45215</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45215</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45215</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45215</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45215</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45215</v>
      </c>
      <c r="D68" t="inlineStr">
        <is>
          <t>VÄSTERNORRLANDS LÄN</t>
        </is>
      </c>
      <c r="E68" t="inlineStr">
        <is>
          <t>ÅNGE</t>
        </is>
      </c>
      <c r="F68" t="inlineStr">
        <is>
          <t>SCA</t>
        </is>
      </c>
      <c r="G68" t="n">
        <v>8.800000000000001</v>
      </c>
      <c r="H68" t="n">
        <v>3</v>
      </c>
      <c r="I68" t="n">
        <v>3</v>
      </c>
      <c r="J68" t="n">
        <v>8</v>
      </c>
      <c r="K68" t="n">
        <v>1</v>
      </c>
      <c r="L68" t="n">
        <v>0</v>
      </c>
      <c r="M68" t="n">
        <v>0</v>
      </c>
      <c r="N68" t="n">
        <v>0</v>
      </c>
      <c r="O68" t="n">
        <v>9</v>
      </c>
      <c r="P68" t="n">
        <v>1</v>
      </c>
      <c r="Q68" t="n">
        <v>12</v>
      </c>
      <c r="R68" s="2" t="inlineStr">
        <is>
          <t>Knärot
Brunpudrad nållav
Dvärgbägarlav
Gammelgransskål
Mörk kolflarnlav
Spillkråka
Tallticka
Talltita
Ullticka
Dropptaggsvamp
Norrlandslav
Vedticka</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45215</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45215</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45215</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45215</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45215</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45215</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45215</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45215</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45215</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45215</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45215</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45215</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45215</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45215</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45215</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45215</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45215</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45215</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45215</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45215</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45215</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45215</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45215</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45215</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45215</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45215</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45215</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45215</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45215</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45215</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45215</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45215</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45215</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45215</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45215</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45215</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45215</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45215</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45215</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45215</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45215</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45215</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45215</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45215</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45215</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45215</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45215</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45215</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45215</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45215</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45215</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45215</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45215</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45215</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45215</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45215</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45215</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45215</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45215</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45215</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45215</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45215</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45215</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45215</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45215</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45215</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45215</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45215</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45215</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45215</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45215</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45215</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45215</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45215</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45215</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45215</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45215</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45215</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45215</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45215</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45215</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45215</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45215</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45215</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45215</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45215</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45215</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45215</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45215</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45215</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45215</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45215</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45215</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45215</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45215</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45215</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45215</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45215</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45215</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45215</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45215</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45215</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45215</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45215</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45215</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45215</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45215</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45215</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45215</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45215</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45215</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45215</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45215</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45215</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45215</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45215</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45215</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45215</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45215</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45215</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45215</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45215</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45215</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45215</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45215</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45215</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45215</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45215</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45215</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45215</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45215</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45215</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45215</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45215</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45215</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45215</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45215</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45215</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45215</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45215</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45215</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45215</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45215</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45215</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45215</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45215</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45215</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45215</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45215</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45215</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45215</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45215</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45215</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45215</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45215</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45215</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45215</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45215</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45215</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45215</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45215</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45215</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45215</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45215</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45215</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45215</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45215</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45215</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45215</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45215</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45215</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45215</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45215</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45215</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45215</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45215</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45215</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45215</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45215</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45215</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45215</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45215</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45215</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45215</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45215</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45215</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45215</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45215</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45215</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45215</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45215</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45215</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45215</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45215</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45215</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45215</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45215</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45215</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45215</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45215</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45215</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45215</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45215</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45215</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45215</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45215</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45215</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45215</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45215</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45215</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45215</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45215</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45215</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45215</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45215</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45215</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45215</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45215</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12608-2020</t>
        </is>
      </c>
      <c r="B287" s="1" t="n">
        <v>43899</v>
      </c>
      <c r="C287" s="1" t="n">
        <v>45215</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 artfynd.xlsx", "A 12608-2020")</f>
        <v/>
      </c>
      <c r="T287">
        <f>HYPERLINK("https://klasma.github.io/Logging_2260/kartor/A 12608-2020 karta.png", "A 12608-2020")</f>
        <v/>
      </c>
      <c r="V287">
        <f>HYPERLINK("https://klasma.github.io/Logging_2260/klagomål/A 12608-2020 FSC-klagomål.docx", "A 12608-2020")</f>
        <v/>
      </c>
      <c r="W287">
        <f>HYPERLINK("https://klasma.github.io/Logging_2260/klagomålsmail/A 12608-2020 FSC-klagomål mail.docx", "A 12608-2020")</f>
        <v/>
      </c>
      <c r="X287">
        <f>HYPERLINK("https://klasma.github.io/Logging_2260/tillsyn/A 12608-2020 tillsynsbegäran.docx", "A 12608-2020")</f>
        <v/>
      </c>
      <c r="Y287">
        <f>HYPERLINK("https://klasma.github.io/Logging_2260/tillsynsmail/A 12608-2020 tillsynsbegäran mail.docx", "A 12608-2020")</f>
        <v/>
      </c>
    </row>
    <row r="288" ht="15" customHeight="1">
      <c r="A288" t="inlineStr">
        <is>
          <t>A 17141-2020</t>
        </is>
      </c>
      <c r="B288" s="1" t="n">
        <v>43922</v>
      </c>
      <c r="C288" s="1" t="n">
        <v>45215</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 artfynd.xlsx", "A 17141-2020")</f>
        <v/>
      </c>
      <c r="T288">
        <f>HYPERLINK("https://klasma.github.io/Logging_2282/kartor/A 17141-2020 karta.png", "A 17141-2020")</f>
        <v/>
      </c>
      <c r="V288">
        <f>HYPERLINK("https://klasma.github.io/Logging_2282/klagomål/A 17141-2020 FSC-klagomål.docx", "A 17141-2020")</f>
        <v/>
      </c>
      <c r="W288">
        <f>HYPERLINK("https://klasma.github.io/Logging_2282/klagomålsmail/A 17141-2020 FSC-klagomål mail.docx", "A 17141-2020")</f>
        <v/>
      </c>
      <c r="X288">
        <f>HYPERLINK("https://klasma.github.io/Logging_2282/tillsyn/A 17141-2020 tillsynsbegäran.docx", "A 17141-2020")</f>
        <v/>
      </c>
      <c r="Y288">
        <f>HYPERLINK("https://klasma.github.io/Logging_2282/tillsynsmail/A 17141-2020 tillsynsbegäran mail.docx", "A 17141-2020")</f>
        <v/>
      </c>
    </row>
    <row r="289" ht="15" customHeight="1">
      <c r="A289" t="inlineStr">
        <is>
          <t>A 22407-2020</t>
        </is>
      </c>
      <c r="B289" s="1" t="n">
        <v>43962</v>
      </c>
      <c r="C289" s="1" t="n">
        <v>45215</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 artfynd.xlsx", "A 22407-2020")</f>
        <v/>
      </c>
      <c r="T289">
        <f>HYPERLINK("https://klasma.github.io/Logging_2281/kartor/A 22407-2020 karta.png", "A 22407-2020")</f>
        <v/>
      </c>
      <c r="U289">
        <f>HYPERLINK("https://klasma.github.io/Logging_2281/knärot/A 22407-2020 karta knärot.png", "A 22407-2020")</f>
        <v/>
      </c>
      <c r="V289">
        <f>HYPERLINK("https://klasma.github.io/Logging_2281/klagomål/A 22407-2020 FSC-klagomål.docx", "A 22407-2020")</f>
        <v/>
      </c>
      <c r="W289">
        <f>HYPERLINK("https://klasma.github.io/Logging_2281/klagomålsmail/A 22407-2020 FSC-klagomål mail.docx", "A 22407-2020")</f>
        <v/>
      </c>
      <c r="X289">
        <f>HYPERLINK("https://klasma.github.io/Logging_2281/tillsyn/A 22407-2020 tillsynsbegäran.docx", "A 22407-2020")</f>
        <v/>
      </c>
      <c r="Y289">
        <f>HYPERLINK("https://klasma.github.io/Logging_2281/tillsynsmail/A 22407-2020 tillsynsbegäran mail.docx", "A 22407-2020")</f>
        <v/>
      </c>
    </row>
    <row r="290" ht="15" customHeight="1">
      <c r="A290" t="inlineStr">
        <is>
          <t>A 24219-2020</t>
        </is>
      </c>
      <c r="B290" s="1" t="n">
        <v>43973</v>
      </c>
      <c r="C290" s="1" t="n">
        <v>45215</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 artfynd.xlsx", "A 24219-2020")</f>
        <v/>
      </c>
      <c r="T290">
        <f>HYPERLINK("https://klasma.github.io/Logging_2283/kartor/A 24219-2020 karta.png", "A 24219-2020")</f>
        <v/>
      </c>
      <c r="V290">
        <f>HYPERLINK("https://klasma.github.io/Logging_2283/klagomål/A 24219-2020 FSC-klagomål.docx", "A 24219-2020")</f>
        <v/>
      </c>
      <c r="W290">
        <f>HYPERLINK("https://klasma.github.io/Logging_2283/klagomålsmail/A 24219-2020 FSC-klagomål mail.docx", "A 24219-2020")</f>
        <v/>
      </c>
      <c r="X290">
        <f>HYPERLINK("https://klasma.github.io/Logging_2283/tillsyn/A 24219-2020 tillsynsbegäran.docx", "A 24219-2020")</f>
        <v/>
      </c>
      <c r="Y290">
        <f>HYPERLINK("https://klasma.github.io/Logging_2283/tillsynsmail/A 24219-2020 tillsynsbegäran mail.docx", "A 24219-2020")</f>
        <v/>
      </c>
    </row>
    <row r="291" ht="15" customHeight="1">
      <c r="A291" t="inlineStr">
        <is>
          <t>A 31640-2020</t>
        </is>
      </c>
      <c r="B291" s="1" t="n">
        <v>44013</v>
      </c>
      <c r="C291" s="1" t="n">
        <v>45215</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 artfynd.xlsx", "A 31640-2020")</f>
        <v/>
      </c>
      <c r="T291">
        <f>HYPERLINK("https://klasma.github.io/Logging_2283/kartor/A 31640-2020 karta.png", "A 31640-2020")</f>
        <v/>
      </c>
      <c r="V291">
        <f>HYPERLINK("https://klasma.github.io/Logging_2283/klagomål/A 31640-2020 FSC-klagomål.docx", "A 31640-2020")</f>
        <v/>
      </c>
      <c r="W291">
        <f>HYPERLINK("https://klasma.github.io/Logging_2283/klagomålsmail/A 31640-2020 FSC-klagomål mail.docx", "A 31640-2020")</f>
        <v/>
      </c>
      <c r="X291">
        <f>HYPERLINK("https://klasma.github.io/Logging_2283/tillsyn/A 31640-2020 tillsynsbegäran.docx", "A 31640-2020")</f>
        <v/>
      </c>
      <c r="Y291">
        <f>HYPERLINK("https://klasma.github.io/Logging_2283/tillsynsmail/A 31640-2020 tillsynsbegäran mail.docx", "A 31640-2020")</f>
        <v/>
      </c>
    </row>
    <row r="292" ht="15" customHeight="1">
      <c r="A292" t="inlineStr">
        <is>
          <t>A 43946-2020</t>
        </is>
      </c>
      <c r="B292" s="1" t="n">
        <v>44083</v>
      </c>
      <c r="C292" s="1" t="n">
        <v>45215</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 artfynd.xlsx", "A 43946-2020")</f>
        <v/>
      </c>
      <c r="T292">
        <f>HYPERLINK("https://klasma.github.io/Logging_2284/kartor/A 43946-2020 karta.png", "A 43946-2020")</f>
        <v/>
      </c>
      <c r="V292">
        <f>HYPERLINK("https://klasma.github.io/Logging_2284/klagomål/A 43946-2020 FSC-klagomål.docx", "A 43946-2020")</f>
        <v/>
      </c>
      <c r="W292">
        <f>HYPERLINK("https://klasma.github.io/Logging_2284/klagomålsmail/A 43946-2020 FSC-klagomål mail.docx", "A 43946-2020")</f>
        <v/>
      </c>
      <c r="X292">
        <f>HYPERLINK("https://klasma.github.io/Logging_2284/tillsyn/A 43946-2020 tillsynsbegäran.docx", "A 43946-2020")</f>
        <v/>
      </c>
      <c r="Y292">
        <f>HYPERLINK("https://klasma.github.io/Logging_2284/tillsynsmail/A 43946-2020 tillsynsbegäran mail.docx", "A 43946-2020")</f>
        <v/>
      </c>
    </row>
    <row r="293" ht="15" customHeight="1">
      <c r="A293" t="inlineStr">
        <is>
          <t>A 53172-2020</t>
        </is>
      </c>
      <c r="B293" s="1" t="n">
        <v>44120</v>
      </c>
      <c r="C293" s="1" t="n">
        <v>45215</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 artfynd.xlsx", "A 53172-2020")</f>
        <v/>
      </c>
      <c r="T293">
        <f>HYPERLINK("https://klasma.github.io/Logging_2260/kartor/A 53172-2020 karta.png", "A 53172-2020")</f>
        <v/>
      </c>
      <c r="V293">
        <f>HYPERLINK("https://klasma.github.io/Logging_2260/klagomål/A 53172-2020 FSC-klagomål.docx", "A 53172-2020")</f>
        <v/>
      </c>
      <c r="W293">
        <f>HYPERLINK("https://klasma.github.io/Logging_2260/klagomålsmail/A 53172-2020 FSC-klagomål mail.docx", "A 53172-2020")</f>
        <v/>
      </c>
      <c r="X293">
        <f>HYPERLINK("https://klasma.github.io/Logging_2260/tillsyn/A 53172-2020 tillsynsbegäran.docx", "A 53172-2020")</f>
        <v/>
      </c>
      <c r="Y293">
        <f>HYPERLINK("https://klasma.github.io/Logging_2260/tillsynsmail/A 53172-2020 tillsynsbegäran mail.docx", "A 53172-2020")</f>
        <v/>
      </c>
    </row>
    <row r="294" ht="15" customHeight="1">
      <c r="A294" t="inlineStr">
        <is>
          <t>A 58925-2020</t>
        </is>
      </c>
      <c r="B294" s="1" t="n">
        <v>44146</v>
      </c>
      <c r="C294" s="1" t="n">
        <v>45215</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 artfynd.xlsx", "A 58925-2020")</f>
        <v/>
      </c>
      <c r="T294">
        <f>HYPERLINK("https://klasma.github.io/Logging_2284/kartor/A 58925-2020 karta.png", "A 58925-2020")</f>
        <v/>
      </c>
      <c r="V294">
        <f>HYPERLINK("https://klasma.github.io/Logging_2284/klagomål/A 58925-2020 FSC-klagomål.docx", "A 58925-2020")</f>
        <v/>
      </c>
      <c r="W294">
        <f>HYPERLINK("https://klasma.github.io/Logging_2284/klagomålsmail/A 58925-2020 FSC-klagomål mail.docx", "A 58925-2020")</f>
        <v/>
      </c>
      <c r="X294">
        <f>HYPERLINK("https://klasma.github.io/Logging_2284/tillsyn/A 58925-2020 tillsynsbegäran.docx", "A 58925-2020")</f>
        <v/>
      </c>
      <c r="Y294">
        <f>HYPERLINK("https://klasma.github.io/Logging_2284/tillsynsmail/A 58925-2020 tillsynsbegäran mail.docx", "A 58925-2020")</f>
        <v/>
      </c>
    </row>
    <row r="295" ht="15" customHeight="1">
      <c r="A295" t="inlineStr">
        <is>
          <t>A 63106-2020</t>
        </is>
      </c>
      <c r="B295" s="1" t="n">
        <v>44162</v>
      </c>
      <c r="C295" s="1" t="n">
        <v>45215</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 artfynd.xlsx", "A 63106-2020")</f>
        <v/>
      </c>
      <c r="T295">
        <f>HYPERLINK("https://klasma.github.io/Logging_2284/kartor/A 63106-2020 karta.png", "A 63106-2020")</f>
        <v/>
      </c>
      <c r="V295">
        <f>HYPERLINK("https://klasma.github.io/Logging_2284/klagomål/A 63106-2020 FSC-klagomål.docx", "A 63106-2020")</f>
        <v/>
      </c>
      <c r="W295">
        <f>HYPERLINK("https://klasma.github.io/Logging_2284/klagomålsmail/A 63106-2020 FSC-klagomål mail.docx", "A 63106-2020")</f>
        <v/>
      </c>
      <c r="X295">
        <f>HYPERLINK("https://klasma.github.io/Logging_2284/tillsyn/A 63106-2020 tillsynsbegäran.docx", "A 63106-2020")</f>
        <v/>
      </c>
      <c r="Y295">
        <f>HYPERLINK("https://klasma.github.io/Logging_2284/tillsynsmail/A 63106-2020 tillsynsbegäran mail.docx", "A 63106-2020")</f>
        <v/>
      </c>
    </row>
    <row r="296" ht="15" customHeight="1">
      <c r="A296" t="inlineStr">
        <is>
          <t>A 64990-2020</t>
        </is>
      </c>
      <c r="B296" s="1" t="n">
        <v>44172</v>
      </c>
      <c r="C296" s="1" t="n">
        <v>45215</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 artfynd.xlsx", "A 64990-2020")</f>
        <v/>
      </c>
      <c r="T296">
        <f>HYPERLINK("https://klasma.github.io/Logging_2284/kartor/A 64990-2020 karta.png", "A 64990-2020")</f>
        <v/>
      </c>
      <c r="V296">
        <f>HYPERLINK("https://klasma.github.io/Logging_2284/klagomål/A 64990-2020 FSC-klagomål.docx", "A 64990-2020")</f>
        <v/>
      </c>
      <c r="W296">
        <f>HYPERLINK("https://klasma.github.io/Logging_2284/klagomålsmail/A 64990-2020 FSC-klagomål mail.docx", "A 64990-2020")</f>
        <v/>
      </c>
      <c r="X296">
        <f>HYPERLINK("https://klasma.github.io/Logging_2284/tillsyn/A 64990-2020 tillsynsbegäran.docx", "A 64990-2020")</f>
        <v/>
      </c>
      <c r="Y296">
        <f>HYPERLINK("https://klasma.github.io/Logging_2284/tillsynsmail/A 64990-2020 tillsynsbegäran mail.docx", "A 64990-2020")</f>
        <v/>
      </c>
    </row>
    <row r="297" ht="15" customHeight="1">
      <c r="A297" t="inlineStr">
        <is>
          <t>A 1680-2021</t>
        </is>
      </c>
      <c r="B297" s="1" t="n">
        <v>44209</v>
      </c>
      <c r="C297" s="1" t="n">
        <v>45215</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 artfynd.xlsx", "A 1680-2021")</f>
        <v/>
      </c>
      <c r="T297">
        <f>HYPERLINK("https://klasma.github.io/Logging_2284/kartor/A 1680-2021 karta.png", "A 1680-2021")</f>
        <v/>
      </c>
      <c r="V297">
        <f>HYPERLINK("https://klasma.github.io/Logging_2284/klagomål/A 1680-2021 FSC-klagomål.docx", "A 1680-2021")</f>
        <v/>
      </c>
      <c r="W297">
        <f>HYPERLINK("https://klasma.github.io/Logging_2284/klagomålsmail/A 1680-2021 FSC-klagomål mail.docx", "A 1680-2021")</f>
        <v/>
      </c>
      <c r="X297">
        <f>HYPERLINK("https://klasma.github.io/Logging_2284/tillsyn/A 1680-2021 tillsynsbegäran.docx", "A 1680-2021")</f>
        <v/>
      </c>
      <c r="Y297">
        <f>HYPERLINK("https://klasma.github.io/Logging_2284/tillsynsmail/A 1680-2021 tillsynsbegäran mail.docx", "A 1680-2021")</f>
        <v/>
      </c>
    </row>
    <row r="298" ht="15" customHeight="1">
      <c r="A298" t="inlineStr">
        <is>
          <t>A 2806-2021</t>
        </is>
      </c>
      <c r="B298" s="1" t="n">
        <v>44215</v>
      </c>
      <c r="C298" s="1" t="n">
        <v>45215</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 artfynd.xlsx", "A 2806-2021")</f>
        <v/>
      </c>
      <c r="T298">
        <f>HYPERLINK("https://klasma.github.io/Logging_2282/kartor/A 2806-2021 karta.png", "A 2806-2021")</f>
        <v/>
      </c>
      <c r="V298">
        <f>HYPERLINK("https://klasma.github.io/Logging_2282/klagomål/A 2806-2021 FSC-klagomål.docx", "A 2806-2021")</f>
        <v/>
      </c>
      <c r="W298">
        <f>HYPERLINK("https://klasma.github.io/Logging_2282/klagomålsmail/A 2806-2021 FSC-klagomål mail.docx", "A 2806-2021")</f>
        <v/>
      </c>
      <c r="X298">
        <f>HYPERLINK("https://klasma.github.io/Logging_2282/tillsyn/A 2806-2021 tillsynsbegäran.docx", "A 2806-2021")</f>
        <v/>
      </c>
      <c r="Y298">
        <f>HYPERLINK("https://klasma.github.io/Logging_2282/tillsynsmail/A 2806-2021 tillsynsbegäran mail.docx", "A 2806-2021")</f>
        <v/>
      </c>
    </row>
    <row r="299" ht="15" customHeight="1">
      <c r="A299" t="inlineStr">
        <is>
          <t>A 8629-2021</t>
        </is>
      </c>
      <c r="B299" s="1" t="n">
        <v>44245</v>
      </c>
      <c r="C299" s="1" t="n">
        <v>45215</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 artfynd.xlsx", "A 8629-2021")</f>
        <v/>
      </c>
      <c r="T299">
        <f>HYPERLINK("https://klasma.github.io/Logging_2280/kartor/A 8629-2021 karta.png", "A 8629-2021")</f>
        <v/>
      </c>
      <c r="V299">
        <f>HYPERLINK("https://klasma.github.io/Logging_2280/klagomål/A 8629-2021 FSC-klagomål.docx", "A 8629-2021")</f>
        <v/>
      </c>
      <c r="W299">
        <f>HYPERLINK("https://klasma.github.io/Logging_2280/klagomålsmail/A 8629-2021 FSC-klagomål mail.docx", "A 8629-2021")</f>
        <v/>
      </c>
      <c r="X299">
        <f>HYPERLINK("https://klasma.github.io/Logging_2280/tillsyn/A 8629-2021 tillsynsbegäran.docx", "A 8629-2021")</f>
        <v/>
      </c>
      <c r="Y299">
        <f>HYPERLINK("https://klasma.github.io/Logging_2280/tillsynsmail/A 8629-2021 tillsynsbegäran mail.docx", "A 8629-2021")</f>
        <v/>
      </c>
    </row>
    <row r="300" ht="15" customHeight="1">
      <c r="A300" t="inlineStr">
        <is>
          <t>A 15666-2021</t>
        </is>
      </c>
      <c r="B300" s="1" t="n">
        <v>44285</v>
      </c>
      <c r="C300" s="1" t="n">
        <v>45215</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 artfynd.xlsx", "A 15666-2021")</f>
        <v/>
      </c>
      <c r="T300">
        <f>HYPERLINK("https://klasma.github.io/Logging_2260/kartor/A 15666-2021 karta.png", "A 15666-2021")</f>
        <v/>
      </c>
      <c r="V300">
        <f>HYPERLINK("https://klasma.github.io/Logging_2260/klagomål/A 15666-2021 FSC-klagomål.docx", "A 15666-2021")</f>
        <v/>
      </c>
      <c r="W300">
        <f>HYPERLINK("https://klasma.github.io/Logging_2260/klagomålsmail/A 15666-2021 FSC-klagomål mail.docx", "A 15666-2021")</f>
        <v/>
      </c>
      <c r="X300">
        <f>HYPERLINK("https://klasma.github.io/Logging_2260/tillsyn/A 15666-2021 tillsynsbegäran.docx", "A 15666-2021")</f>
        <v/>
      </c>
      <c r="Y300">
        <f>HYPERLINK("https://klasma.github.io/Logging_2260/tillsynsmail/A 15666-2021 tillsynsbegäran mail.docx", "A 15666-2021")</f>
        <v/>
      </c>
    </row>
    <row r="301" ht="15" customHeight="1">
      <c r="A301" t="inlineStr">
        <is>
          <t>A 23497-2021</t>
        </is>
      </c>
      <c r="B301" s="1" t="n">
        <v>44333</v>
      </c>
      <c r="C301" s="1" t="n">
        <v>45215</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 artfynd.xlsx", "A 23497-2021")</f>
        <v/>
      </c>
      <c r="T301">
        <f>HYPERLINK("https://klasma.github.io/Logging_2280/kartor/A 23497-2021 karta.png", "A 23497-2021")</f>
        <v/>
      </c>
      <c r="V301">
        <f>HYPERLINK("https://klasma.github.io/Logging_2280/klagomål/A 23497-2021 FSC-klagomål.docx", "A 23497-2021")</f>
        <v/>
      </c>
      <c r="W301">
        <f>HYPERLINK("https://klasma.github.io/Logging_2280/klagomålsmail/A 23497-2021 FSC-klagomål mail.docx", "A 23497-2021")</f>
        <v/>
      </c>
      <c r="X301">
        <f>HYPERLINK("https://klasma.github.io/Logging_2280/tillsyn/A 23497-2021 tillsynsbegäran.docx", "A 23497-2021")</f>
        <v/>
      </c>
      <c r="Y301">
        <f>HYPERLINK("https://klasma.github.io/Logging_2280/tillsynsmail/A 23497-2021 tillsynsbegäran mail.docx", "A 23497-2021")</f>
        <v/>
      </c>
    </row>
    <row r="302" ht="15" customHeight="1">
      <c r="A302" t="inlineStr">
        <is>
          <t>A 24268-2021</t>
        </is>
      </c>
      <c r="B302" s="1" t="n">
        <v>44336</v>
      </c>
      <c r="C302" s="1" t="n">
        <v>45215</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 artfynd.xlsx", "A 24268-2021")</f>
        <v/>
      </c>
      <c r="T302">
        <f>HYPERLINK("https://klasma.github.io/Logging_2281/kartor/A 24268-2021 karta.png", "A 24268-2021")</f>
        <v/>
      </c>
      <c r="V302">
        <f>HYPERLINK("https://klasma.github.io/Logging_2281/klagomål/A 24268-2021 FSC-klagomål.docx", "A 24268-2021")</f>
        <v/>
      </c>
      <c r="W302">
        <f>HYPERLINK("https://klasma.github.io/Logging_2281/klagomålsmail/A 24268-2021 FSC-klagomål mail.docx", "A 24268-2021")</f>
        <v/>
      </c>
      <c r="X302">
        <f>HYPERLINK("https://klasma.github.io/Logging_2281/tillsyn/A 24268-2021 tillsynsbegäran.docx", "A 24268-2021")</f>
        <v/>
      </c>
      <c r="Y302">
        <f>HYPERLINK("https://klasma.github.io/Logging_2281/tillsynsmail/A 24268-2021 tillsynsbegäran mail.docx", "A 24268-2021")</f>
        <v/>
      </c>
    </row>
    <row r="303" ht="15" customHeight="1">
      <c r="A303" t="inlineStr">
        <is>
          <t>A 26694-2021</t>
        </is>
      </c>
      <c r="B303" s="1" t="n">
        <v>44349</v>
      </c>
      <c r="C303" s="1" t="n">
        <v>45215</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 artfynd.xlsx", "A 26694-2021")</f>
        <v/>
      </c>
      <c r="T303">
        <f>HYPERLINK("https://klasma.github.io/Logging_2284/kartor/A 26694-2021 karta.png", "A 26694-2021")</f>
        <v/>
      </c>
      <c r="V303">
        <f>HYPERLINK("https://klasma.github.io/Logging_2284/klagomål/A 26694-2021 FSC-klagomål.docx", "A 26694-2021")</f>
        <v/>
      </c>
      <c r="W303">
        <f>HYPERLINK("https://klasma.github.io/Logging_2284/klagomålsmail/A 26694-2021 FSC-klagomål mail.docx", "A 26694-2021")</f>
        <v/>
      </c>
      <c r="X303">
        <f>HYPERLINK("https://klasma.github.io/Logging_2284/tillsyn/A 26694-2021 tillsynsbegäran.docx", "A 26694-2021")</f>
        <v/>
      </c>
      <c r="Y303">
        <f>HYPERLINK("https://klasma.github.io/Logging_2284/tillsynsmail/A 26694-2021 tillsynsbegäran mail.docx", "A 26694-2021")</f>
        <v/>
      </c>
    </row>
    <row r="304" ht="15" customHeight="1">
      <c r="A304" t="inlineStr">
        <is>
          <t>A 27956-2021</t>
        </is>
      </c>
      <c r="B304" s="1" t="n">
        <v>44354</v>
      </c>
      <c r="C304" s="1" t="n">
        <v>45215</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 artfynd.xlsx", "A 27956-2021")</f>
        <v/>
      </c>
      <c r="T304">
        <f>HYPERLINK("https://klasma.github.io/Logging_2260/kartor/A 27956-2021 karta.png", "A 27956-2021")</f>
        <v/>
      </c>
      <c r="V304">
        <f>HYPERLINK("https://klasma.github.io/Logging_2260/klagomål/A 27956-2021 FSC-klagomål.docx", "A 27956-2021")</f>
        <v/>
      </c>
      <c r="W304">
        <f>HYPERLINK("https://klasma.github.io/Logging_2260/klagomålsmail/A 27956-2021 FSC-klagomål mail.docx", "A 27956-2021")</f>
        <v/>
      </c>
      <c r="X304">
        <f>HYPERLINK("https://klasma.github.io/Logging_2260/tillsyn/A 27956-2021 tillsynsbegäran.docx", "A 27956-2021")</f>
        <v/>
      </c>
      <c r="Y304">
        <f>HYPERLINK("https://klasma.github.io/Logging_2260/tillsynsmail/A 27956-2021 tillsynsbegäran mail.docx", "A 27956-2021")</f>
        <v/>
      </c>
    </row>
    <row r="305" ht="15" customHeight="1">
      <c r="A305" t="inlineStr">
        <is>
          <t>A 33614-2021</t>
        </is>
      </c>
      <c r="B305" s="1" t="n">
        <v>44377</v>
      </c>
      <c r="C305" s="1" t="n">
        <v>45215</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 artfynd.xlsx", "A 33614-2021")</f>
        <v/>
      </c>
      <c r="T305">
        <f>HYPERLINK("https://klasma.github.io/Logging_2282/kartor/A 33614-2021 karta.png", "A 33614-2021")</f>
        <v/>
      </c>
      <c r="V305">
        <f>HYPERLINK("https://klasma.github.io/Logging_2282/klagomål/A 33614-2021 FSC-klagomål.docx", "A 33614-2021")</f>
        <v/>
      </c>
      <c r="W305">
        <f>HYPERLINK("https://klasma.github.io/Logging_2282/klagomålsmail/A 33614-2021 FSC-klagomål mail.docx", "A 33614-2021")</f>
        <v/>
      </c>
      <c r="X305">
        <f>HYPERLINK("https://klasma.github.io/Logging_2282/tillsyn/A 33614-2021 tillsynsbegäran.docx", "A 33614-2021")</f>
        <v/>
      </c>
      <c r="Y305">
        <f>HYPERLINK("https://klasma.github.io/Logging_2282/tillsynsmail/A 33614-2021 tillsynsbegäran mail.docx", "A 33614-2021")</f>
        <v/>
      </c>
    </row>
    <row r="306" ht="15" customHeight="1">
      <c r="A306" t="inlineStr">
        <is>
          <t>A 45122-2021</t>
        </is>
      </c>
      <c r="B306" s="1" t="n">
        <v>44439</v>
      </c>
      <c r="C306" s="1" t="n">
        <v>45215</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 artfynd.xlsx", "A 45122-2021")</f>
        <v/>
      </c>
      <c r="T306">
        <f>HYPERLINK("https://klasma.github.io/Logging_2260/kartor/A 45122-2021 karta.png", "A 45122-2021")</f>
        <v/>
      </c>
      <c r="V306">
        <f>HYPERLINK("https://klasma.github.io/Logging_2260/klagomål/A 45122-2021 FSC-klagomål.docx", "A 45122-2021")</f>
        <v/>
      </c>
      <c r="W306">
        <f>HYPERLINK("https://klasma.github.io/Logging_2260/klagomålsmail/A 45122-2021 FSC-klagomål mail.docx", "A 45122-2021")</f>
        <v/>
      </c>
      <c r="X306">
        <f>HYPERLINK("https://klasma.github.io/Logging_2260/tillsyn/A 45122-2021 tillsynsbegäran.docx", "A 45122-2021")</f>
        <v/>
      </c>
      <c r="Y306">
        <f>HYPERLINK("https://klasma.github.io/Logging_2260/tillsynsmail/A 45122-2021 tillsynsbegäran mail.docx", "A 45122-2021")</f>
        <v/>
      </c>
    </row>
    <row r="307" ht="15" customHeight="1">
      <c r="A307" t="inlineStr">
        <is>
          <t>A 51999-2021</t>
        </is>
      </c>
      <c r="B307" s="1" t="n">
        <v>44463</v>
      </c>
      <c r="C307" s="1" t="n">
        <v>45215</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 artfynd.xlsx", "A 51999-2021")</f>
        <v/>
      </c>
      <c r="T307">
        <f>HYPERLINK("https://klasma.github.io/Logging_2283/kartor/A 51999-2021 karta.png", "A 51999-2021")</f>
        <v/>
      </c>
      <c r="V307">
        <f>HYPERLINK("https://klasma.github.io/Logging_2283/klagomål/A 51999-2021 FSC-klagomål.docx", "A 51999-2021")</f>
        <v/>
      </c>
      <c r="W307">
        <f>HYPERLINK("https://klasma.github.io/Logging_2283/klagomålsmail/A 51999-2021 FSC-klagomål mail.docx", "A 51999-2021")</f>
        <v/>
      </c>
      <c r="X307">
        <f>HYPERLINK("https://klasma.github.io/Logging_2283/tillsyn/A 51999-2021 tillsynsbegäran.docx", "A 51999-2021")</f>
        <v/>
      </c>
      <c r="Y307">
        <f>HYPERLINK("https://klasma.github.io/Logging_2283/tillsynsmail/A 51999-2021 tillsynsbegäran mail.docx", "A 51999-2021")</f>
        <v/>
      </c>
    </row>
    <row r="308" ht="15" customHeight="1">
      <c r="A308" t="inlineStr">
        <is>
          <t>A 54534-2021</t>
        </is>
      </c>
      <c r="B308" s="1" t="n">
        <v>44473</v>
      </c>
      <c r="C308" s="1" t="n">
        <v>45215</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 artfynd.xlsx", "A 54534-2021")</f>
        <v/>
      </c>
      <c r="T308">
        <f>HYPERLINK("https://klasma.github.io/Logging_2284/kartor/A 54534-2021 karta.png", "A 54534-2021")</f>
        <v/>
      </c>
      <c r="V308">
        <f>HYPERLINK("https://klasma.github.io/Logging_2284/klagomål/A 54534-2021 FSC-klagomål.docx", "A 54534-2021")</f>
        <v/>
      </c>
      <c r="W308">
        <f>HYPERLINK("https://klasma.github.io/Logging_2284/klagomålsmail/A 54534-2021 FSC-klagomål mail.docx", "A 54534-2021")</f>
        <v/>
      </c>
      <c r="X308">
        <f>HYPERLINK("https://klasma.github.io/Logging_2284/tillsyn/A 54534-2021 tillsynsbegäran.docx", "A 54534-2021")</f>
        <v/>
      </c>
      <c r="Y308">
        <f>HYPERLINK("https://klasma.github.io/Logging_2284/tillsynsmail/A 54534-2021 tillsynsbegäran mail.docx", "A 54534-2021")</f>
        <v/>
      </c>
    </row>
    <row r="309" ht="15" customHeight="1">
      <c r="A309" t="inlineStr">
        <is>
          <t>A 60386-2021</t>
        </is>
      </c>
      <c r="B309" s="1" t="n">
        <v>44496</v>
      </c>
      <c r="C309" s="1" t="n">
        <v>45215</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 artfynd.xlsx", "A 60386-2021")</f>
        <v/>
      </c>
      <c r="T309">
        <f>HYPERLINK("https://klasma.github.io/Logging_2284/kartor/A 60386-2021 karta.png", "A 60386-2021")</f>
        <v/>
      </c>
      <c r="V309">
        <f>HYPERLINK("https://klasma.github.io/Logging_2284/klagomål/A 60386-2021 FSC-klagomål.docx", "A 60386-2021")</f>
        <v/>
      </c>
      <c r="W309">
        <f>HYPERLINK("https://klasma.github.io/Logging_2284/klagomålsmail/A 60386-2021 FSC-klagomål mail.docx", "A 60386-2021")</f>
        <v/>
      </c>
      <c r="X309">
        <f>HYPERLINK("https://klasma.github.io/Logging_2284/tillsyn/A 60386-2021 tillsynsbegäran.docx", "A 60386-2021")</f>
        <v/>
      </c>
      <c r="Y309">
        <f>HYPERLINK("https://klasma.github.io/Logging_2284/tillsynsmail/A 60386-2021 tillsynsbegäran mail.docx", "A 60386-2021")</f>
        <v/>
      </c>
    </row>
    <row r="310" ht="15" customHeight="1">
      <c r="A310" t="inlineStr">
        <is>
          <t>A 61481-2021</t>
        </is>
      </c>
      <c r="B310" s="1" t="n">
        <v>44500</v>
      </c>
      <c r="C310" s="1" t="n">
        <v>45215</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 artfynd.xlsx", "A 61481-2021")</f>
        <v/>
      </c>
      <c r="T310">
        <f>HYPERLINK("https://klasma.github.io/Logging_2283/kartor/A 61481-2021 karta.png", "A 61481-2021")</f>
        <v/>
      </c>
      <c r="V310">
        <f>HYPERLINK("https://klasma.github.io/Logging_2283/klagomål/A 61481-2021 FSC-klagomål.docx", "A 61481-2021")</f>
        <v/>
      </c>
      <c r="W310">
        <f>HYPERLINK("https://klasma.github.io/Logging_2283/klagomålsmail/A 61481-2021 FSC-klagomål mail.docx", "A 61481-2021")</f>
        <v/>
      </c>
      <c r="X310">
        <f>HYPERLINK("https://klasma.github.io/Logging_2283/tillsyn/A 61481-2021 tillsynsbegäran.docx", "A 61481-2021")</f>
        <v/>
      </c>
      <c r="Y310">
        <f>HYPERLINK("https://klasma.github.io/Logging_2283/tillsynsmail/A 61481-2021 tillsynsbegäran mail.docx", "A 61481-2021")</f>
        <v/>
      </c>
    </row>
    <row r="311" ht="15" customHeight="1">
      <c r="A311" t="inlineStr">
        <is>
          <t>A 67478-2021</t>
        </is>
      </c>
      <c r="B311" s="1" t="n">
        <v>44524</v>
      </c>
      <c r="C311" s="1" t="n">
        <v>45215</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 artfynd.xlsx", "A 67478-2021")</f>
        <v/>
      </c>
      <c r="T311">
        <f>HYPERLINK("https://klasma.github.io/Logging_2282/kartor/A 67478-2021 karta.png", "A 67478-2021")</f>
        <v/>
      </c>
      <c r="V311">
        <f>HYPERLINK("https://klasma.github.io/Logging_2282/klagomål/A 67478-2021 FSC-klagomål.docx", "A 67478-2021")</f>
        <v/>
      </c>
      <c r="W311">
        <f>HYPERLINK("https://klasma.github.io/Logging_2282/klagomålsmail/A 67478-2021 FSC-klagomål mail.docx", "A 67478-2021")</f>
        <v/>
      </c>
      <c r="X311">
        <f>HYPERLINK("https://klasma.github.io/Logging_2282/tillsyn/A 67478-2021 tillsynsbegäran.docx", "A 67478-2021")</f>
        <v/>
      </c>
      <c r="Y311">
        <f>HYPERLINK("https://klasma.github.io/Logging_2282/tillsynsmail/A 67478-2021 tillsynsbegäran mail.docx", "A 67478-2021")</f>
        <v/>
      </c>
    </row>
    <row r="312" ht="15" customHeight="1">
      <c r="A312" t="inlineStr">
        <is>
          <t>A 8236-2022</t>
        </is>
      </c>
      <c r="B312" s="1" t="n">
        <v>44609</v>
      </c>
      <c r="C312" s="1" t="n">
        <v>45215</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 artfynd.xlsx", "A 8236-2022")</f>
        <v/>
      </c>
      <c r="T312">
        <f>HYPERLINK("https://klasma.github.io/Logging_2260/kartor/A 8236-2022 karta.png", "A 8236-2022")</f>
        <v/>
      </c>
      <c r="V312">
        <f>HYPERLINK("https://klasma.github.io/Logging_2260/klagomål/A 8236-2022 FSC-klagomål.docx", "A 8236-2022")</f>
        <v/>
      </c>
      <c r="W312">
        <f>HYPERLINK("https://klasma.github.io/Logging_2260/klagomålsmail/A 8236-2022 FSC-klagomål mail.docx", "A 8236-2022")</f>
        <v/>
      </c>
      <c r="X312">
        <f>HYPERLINK("https://klasma.github.io/Logging_2260/tillsyn/A 8236-2022 tillsynsbegäran.docx", "A 8236-2022")</f>
        <v/>
      </c>
      <c r="Y312">
        <f>HYPERLINK("https://klasma.github.io/Logging_2260/tillsynsmail/A 8236-2022 tillsynsbegäran mail.docx", "A 8236-2022")</f>
        <v/>
      </c>
    </row>
    <row r="313" ht="15" customHeight="1">
      <c r="A313" t="inlineStr">
        <is>
          <t>A 10317-2022</t>
        </is>
      </c>
      <c r="B313" s="1" t="n">
        <v>44622</v>
      </c>
      <c r="C313" s="1" t="n">
        <v>45215</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 artfynd.xlsx", "A 10317-2022")</f>
        <v/>
      </c>
      <c r="T313">
        <f>HYPERLINK("https://klasma.github.io/Logging_2260/kartor/A 10317-2022 karta.png", "A 10317-2022")</f>
        <v/>
      </c>
      <c r="U313">
        <f>HYPERLINK("https://klasma.github.io/Logging_2260/knärot/A 10317-2022 karta knärot.png", "A 10317-2022")</f>
        <v/>
      </c>
      <c r="V313">
        <f>HYPERLINK("https://klasma.github.io/Logging_2260/klagomål/A 10317-2022 FSC-klagomål.docx", "A 10317-2022")</f>
        <v/>
      </c>
      <c r="W313">
        <f>HYPERLINK("https://klasma.github.io/Logging_2260/klagomålsmail/A 10317-2022 FSC-klagomål mail.docx", "A 10317-2022")</f>
        <v/>
      </c>
      <c r="X313">
        <f>HYPERLINK("https://klasma.github.io/Logging_2260/tillsyn/A 10317-2022 tillsynsbegäran.docx", "A 10317-2022")</f>
        <v/>
      </c>
      <c r="Y313">
        <f>HYPERLINK("https://klasma.github.io/Logging_2260/tillsynsmail/A 10317-2022 tillsynsbegäran mail.docx", "A 10317-2022")</f>
        <v/>
      </c>
    </row>
    <row r="314" ht="15" customHeight="1">
      <c r="A314" t="inlineStr">
        <is>
          <t>A 11351-2022</t>
        </is>
      </c>
      <c r="B314" s="1" t="n">
        <v>44630</v>
      </c>
      <c r="C314" s="1" t="n">
        <v>45215</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 artfynd.xlsx", "A 11351-2022")</f>
        <v/>
      </c>
      <c r="T314">
        <f>HYPERLINK("https://klasma.github.io/Logging_2281/kartor/A 11351-2022 karta.png", "A 11351-2022")</f>
        <v/>
      </c>
      <c r="U314">
        <f>HYPERLINK("https://klasma.github.io/Logging_2281/knärot/A 11351-2022 karta knärot.png", "A 11351-2022")</f>
        <v/>
      </c>
      <c r="V314">
        <f>HYPERLINK("https://klasma.github.io/Logging_2281/klagomål/A 11351-2022 FSC-klagomål.docx", "A 11351-2022")</f>
        <v/>
      </c>
      <c r="W314">
        <f>HYPERLINK("https://klasma.github.io/Logging_2281/klagomålsmail/A 11351-2022 FSC-klagomål mail.docx", "A 11351-2022")</f>
        <v/>
      </c>
      <c r="X314">
        <f>HYPERLINK("https://klasma.github.io/Logging_2281/tillsyn/A 11351-2022 tillsynsbegäran.docx", "A 11351-2022")</f>
        <v/>
      </c>
      <c r="Y314">
        <f>HYPERLINK("https://klasma.github.io/Logging_2281/tillsynsmail/A 11351-2022 tillsynsbegäran mail.docx", "A 11351-2022")</f>
        <v/>
      </c>
    </row>
    <row r="315" ht="15" customHeight="1">
      <c r="A315" t="inlineStr">
        <is>
          <t>A 14677-2022</t>
        </is>
      </c>
      <c r="B315" s="1" t="n">
        <v>44655</v>
      </c>
      <c r="C315" s="1" t="n">
        <v>45215</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 artfynd.xlsx", "A 14677-2022")</f>
        <v/>
      </c>
      <c r="T315">
        <f>HYPERLINK("https://klasma.github.io/Logging_2281/kartor/A 14677-2022 karta.png", "A 14677-2022")</f>
        <v/>
      </c>
      <c r="U315">
        <f>HYPERLINK("https://klasma.github.io/Logging_2281/knärot/A 14677-2022 karta knärot.png", "A 14677-2022")</f>
        <v/>
      </c>
      <c r="V315">
        <f>HYPERLINK("https://klasma.github.io/Logging_2281/klagomål/A 14677-2022 FSC-klagomål.docx", "A 14677-2022")</f>
        <v/>
      </c>
      <c r="W315">
        <f>HYPERLINK("https://klasma.github.io/Logging_2281/klagomålsmail/A 14677-2022 FSC-klagomål mail.docx", "A 14677-2022")</f>
        <v/>
      </c>
      <c r="X315">
        <f>HYPERLINK("https://klasma.github.io/Logging_2281/tillsyn/A 14677-2022 tillsynsbegäran.docx", "A 14677-2022")</f>
        <v/>
      </c>
      <c r="Y315">
        <f>HYPERLINK("https://klasma.github.io/Logging_2281/tillsynsmail/A 14677-2022 tillsynsbegäran mail.docx", "A 14677-2022")</f>
        <v/>
      </c>
    </row>
    <row r="316" ht="15" customHeight="1">
      <c r="A316" t="inlineStr">
        <is>
          <t>A 18012-2022</t>
        </is>
      </c>
      <c r="B316" s="1" t="n">
        <v>44683</v>
      </c>
      <c r="C316" s="1" t="n">
        <v>45215</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 artfynd.xlsx", "A 18012-2022")</f>
        <v/>
      </c>
      <c r="T316">
        <f>HYPERLINK("https://klasma.github.io/Logging_2283/kartor/A 18012-2022 karta.png", "A 18012-2022")</f>
        <v/>
      </c>
      <c r="U316">
        <f>HYPERLINK("https://klasma.github.io/Logging_2283/knärot/A 18012-2022 karta knärot.png", "A 18012-2022")</f>
        <v/>
      </c>
      <c r="V316">
        <f>HYPERLINK("https://klasma.github.io/Logging_2283/klagomål/A 18012-2022 FSC-klagomål.docx", "A 18012-2022")</f>
        <v/>
      </c>
      <c r="W316">
        <f>HYPERLINK("https://klasma.github.io/Logging_2283/klagomålsmail/A 18012-2022 FSC-klagomål mail.docx", "A 18012-2022")</f>
        <v/>
      </c>
      <c r="X316">
        <f>HYPERLINK("https://klasma.github.io/Logging_2283/tillsyn/A 18012-2022 tillsynsbegäran.docx", "A 18012-2022")</f>
        <v/>
      </c>
      <c r="Y316">
        <f>HYPERLINK("https://klasma.github.io/Logging_2283/tillsynsmail/A 18012-2022 tillsynsbegäran mail.docx", "A 18012-2022")</f>
        <v/>
      </c>
    </row>
    <row r="317" ht="15" customHeight="1">
      <c r="A317" t="inlineStr">
        <is>
          <t>A 18555-2022</t>
        </is>
      </c>
      <c r="B317" s="1" t="n">
        <v>44686</v>
      </c>
      <c r="C317" s="1" t="n">
        <v>45215</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 artfynd.xlsx", "A 18555-2022")</f>
        <v/>
      </c>
      <c r="T317">
        <f>HYPERLINK("https://klasma.github.io/Logging_2280/kartor/A 18555-2022 karta.png", "A 18555-2022")</f>
        <v/>
      </c>
      <c r="U317">
        <f>HYPERLINK("https://klasma.github.io/Logging_2280/knärot/A 18555-2022 karta knärot.png", "A 18555-2022")</f>
        <v/>
      </c>
      <c r="V317">
        <f>HYPERLINK("https://klasma.github.io/Logging_2280/klagomål/A 18555-2022 FSC-klagomål.docx", "A 18555-2022")</f>
        <v/>
      </c>
      <c r="W317">
        <f>HYPERLINK("https://klasma.github.io/Logging_2280/klagomålsmail/A 18555-2022 FSC-klagomål mail.docx", "A 18555-2022")</f>
        <v/>
      </c>
      <c r="X317">
        <f>HYPERLINK("https://klasma.github.io/Logging_2280/tillsyn/A 18555-2022 tillsynsbegäran.docx", "A 18555-2022")</f>
        <v/>
      </c>
      <c r="Y317">
        <f>HYPERLINK("https://klasma.github.io/Logging_2280/tillsynsmail/A 18555-2022 tillsynsbegäran mail.docx", "A 18555-2022")</f>
        <v/>
      </c>
    </row>
    <row r="318" ht="15" customHeight="1">
      <c r="A318" t="inlineStr">
        <is>
          <t>A 21662-2022</t>
        </is>
      </c>
      <c r="B318" s="1" t="n">
        <v>44706</v>
      </c>
      <c r="C318" s="1" t="n">
        <v>45215</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 artfynd.xlsx", "A 21662-2022")</f>
        <v/>
      </c>
      <c r="T318">
        <f>HYPERLINK("https://klasma.github.io/Logging_2281/kartor/A 21662-2022 karta.png", "A 21662-2022")</f>
        <v/>
      </c>
      <c r="V318">
        <f>HYPERLINK("https://klasma.github.io/Logging_2281/klagomål/A 21662-2022 FSC-klagomål.docx", "A 21662-2022")</f>
        <v/>
      </c>
      <c r="W318">
        <f>HYPERLINK("https://klasma.github.io/Logging_2281/klagomålsmail/A 21662-2022 FSC-klagomål mail.docx", "A 21662-2022")</f>
        <v/>
      </c>
      <c r="X318">
        <f>HYPERLINK("https://klasma.github.io/Logging_2281/tillsyn/A 21662-2022 tillsynsbegäran.docx", "A 21662-2022")</f>
        <v/>
      </c>
      <c r="Y318">
        <f>HYPERLINK("https://klasma.github.io/Logging_2281/tillsynsmail/A 21662-2022 tillsynsbegäran mail.docx", "A 21662-2022")</f>
        <v/>
      </c>
    </row>
    <row r="319" ht="15" customHeight="1">
      <c r="A319" t="inlineStr">
        <is>
          <t>A 34528-2022</t>
        </is>
      </c>
      <c r="B319" s="1" t="n">
        <v>44792</v>
      </c>
      <c r="C319" s="1" t="n">
        <v>45215</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 artfynd.xlsx", "A 34528-2022")</f>
        <v/>
      </c>
      <c r="T319">
        <f>HYPERLINK("https://klasma.github.io/Logging_2283/kartor/A 34528-2022 karta.png", "A 34528-2022")</f>
        <v/>
      </c>
      <c r="V319">
        <f>HYPERLINK("https://klasma.github.io/Logging_2283/klagomål/A 34528-2022 FSC-klagomål.docx", "A 34528-2022")</f>
        <v/>
      </c>
      <c r="W319">
        <f>HYPERLINK("https://klasma.github.io/Logging_2283/klagomålsmail/A 34528-2022 FSC-klagomål mail.docx", "A 34528-2022")</f>
        <v/>
      </c>
      <c r="X319">
        <f>HYPERLINK("https://klasma.github.io/Logging_2283/tillsyn/A 34528-2022 tillsynsbegäran.docx", "A 34528-2022")</f>
        <v/>
      </c>
      <c r="Y319">
        <f>HYPERLINK("https://klasma.github.io/Logging_2283/tillsynsmail/A 34528-2022 tillsynsbegäran mail.docx", "A 34528-2022")</f>
        <v/>
      </c>
    </row>
    <row r="320" ht="15" customHeight="1">
      <c r="A320" t="inlineStr">
        <is>
          <t>A 47816-2022</t>
        </is>
      </c>
      <c r="B320" s="1" t="n">
        <v>44854</v>
      </c>
      <c r="C320" s="1" t="n">
        <v>45215</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 artfynd.xlsx", "A 47816-2022")</f>
        <v/>
      </c>
      <c r="T320">
        <f>HYPERLINK("https://klasma.github.io/Logging_2262/kartor/A 47816-2022 karta.png", "A 47816-2022")</f>
        <v/>
      </c>
      <c r="V320">
        <f>HYPERLINK("https://klasma.github.io/Logging_2262/klagomål/A 47816-2022 FSC-klagomål.docx", "A 47816-2022")</f>
        <v/>
      </c>
      <c r="W320">
        <f>HYPERLINK("https://klasma.github.io/Logging_2262/klagomålsmail/A 47816-2022 FSC-klagomål mail.docx", "A 47816-2022")</f>
        <v/>
      </c>
      <c r="X320">
        <f>HYPERLINK("https://klasma.github.io/Logging_2262/tillsyn/A 47816-2022 tillsynsbegäran.docx", "A 47816-2022")</f>
        <v/>
      </c>
      <c r="Y320">
        <f>HYPERLINK("https://klasma.github.io/Logging_2262/tillsynsmail/A 47816-2022 tillsynsbegäran mail.docx", "A 47816-2022")</f>
        <v/>
      </c>
    </row>
    <row r="321" ht="15" customHeight="1">
      <c r="A321" t="inlineStr">
        <is>
          <t>A 55854-2022</t>
        </is>
      </c>
      <c r="B321" s="1" t="n">
        <v>44886</v>
      </c>
      <c r="C321" s="1" t="n">
        <v>45215</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 artfynd.xlsx", "A 55854-2022")</f>
        <v/>
      </c>
      <c r="T321">
        <f>HYPERLINK("https://klasma.github.io/Logging_2281/kartor/A 55854-2022 karta.png", "A 55854-2022")</f>
        <v/>
      </c>
      <c r="V321">
        <f>HYPERLINK("https://klasma.github.io/Logging_2281/klagomål/A 55854-2022 FSC-klagomål.docx", "A 55854-2022")</f>
        <v/>
      </c>
      <c r="W321">
        <f>HYPERLINK("https://klasma.github.io/Logging_2281/klagomålsmail/A 55854-2022 FSC-klagomål mail.docx", "A 55854-2022")</f>
        <v/>
      </c>
      <c r="X321">
        <f>HYPERLINK("https://klasma.github.io/Logging_2281/tillsyn/A 55854-2022 tillsynsbegäran.docx", "A 55854-2022")</f>
        <v/>
      </c>
      <c r="Y321">
        <f>HYPERLINK("https://klasma.github.io/Logging_2281/tillsynsmail/A 55854-2022 tillsynsbegäran mail.docx", "A 55854-2022")</f>
        <v/>
      </c>
    </row>
    <row r="322" ht="15" customHeight="1">
      <c r="A322" t="inlineStr">
        <is>
          <t>A 7533-2023</t>
        </is>
      </c>
      <c r="B322" s="1" t="n">
        <v>44971</v>
      </c>
      <c r="C322" s="1" t="n">
        <v>45215</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 artfynd.xlsx", "A 7533-2023")</f>
        <v/>
      </c>
      <c r="T322">
        <f>HYPERLINK("https://klasma.github.io/Logging_2260/kartor/A 7533-2023 karta.png", "A 7533-2023")</f>
        <v/>
      </c>
      <c r="V322">
        <f>HYPERLINK("https://klasma.github.io/Logging_2260/klagomål/A 7533-2023 FSC-klagomål.docx", "A 7533-2023")</f>
        <v/>
      </c>
      <c r="W322">
        <f>HYPERLINK("https://klasma.github.io/Logging_2260/klagomålsmail/A 7533-2023 FSC-klagomål mail.docx", "A 7533-2023")</f>
        <v/>
      </c>
      <c r="X322">
        <f>HYPERLINK("https://klasma.github.io/Logging_2260/tillsyn/A 7533-2023 tillsynsbegäran.docx", "A 7533-2023")</f>
        <v/>
      </c>
      <c r="Y322">
        <f>HYPERLINK("https://klasma.github.io/Logging_2260/tillsynsmail/A 7533-2023 tillsynsbegäran mail.docx", "A 7533-2023")</f>
        <v/>
      </c>
    </row>
    <row r="323" ht="15" customHeight="1">
      <c r="A323" t="inlineStr">
        <is>
          <t>A 8680-2023</t>
        </is>
      </c>
      <c r="B323" s="1" t="n">
        <v>44977</v>
      </c>
      <c r="C323" s="1" t="n">
        <v>45215</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 artfynd.xlsx", "A 8680-2023")</f>
        <v/>
      </c>
      <c r="T323">
        <f>HYPERLINK("https://klasma.github.io/Logging_2281/kartor/A 8680-2023 karta.png", "A 8680-2023")</f>
        <v/>
      </c>
      <c r="V323">
        <f>HYPERLINK("https://klasma.github.io/Logging_2281/klagomål/A 8680-2023 FSC-klagomål.docx", "A 8680-2023")</f>
        <v/>
      </c>
      <c r="W323">
        <f>HYPERLINK("https://klasma.github.io/Logging_2281/klagomålsmail/A 8680-2023 FSC-klagomål mail.docx", "A 8680-2023")</f>
        <v/>
      </c>
      <c r="X323">
        <f>HYPERLINK("https://klasma.github.io/Logging_2281/tillsyn/A 8680-2023 tillsynsbegäran.docx", "A 8680-2023")</f>
        <v/>
      </c>
      <c r="Y323">
        <f>HYPERLINK("https://klasma.github.io/Logging_2281/tillsynsmail/A 8680-2023 tillsynsbegäran mail.docx", "A 8680-2023")</f>
        <v/>
      </c>
    </row>
    <row r="324" ht="15" customHeight="1">
      <c r="A324" t="inlineStr">
        <is>
          <t>A 10766-2023</t>
        </is>
      </c>
      <c r="B324" s="1" t="n">
        <v>44988</v>
      </c>
      <c r="C324" s="1" t="n">
        <v>45215</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 artfynd.xlsx", "A 10766-2023")</f>
        <v/>
      </c>
      <c r="T324">
        <f>HYPERLINK("https://klasma.github.io/Logging_2262/kartor/A 10766-2023 karta.png", "A 10766-2023")</f>
        <v/>
      </c>
      <c r="V324">
        <f>HYPERLINK("https://klasma.github.io/Logging_2262/klagomål/A 10766-2023 FSC-klagomål.docx", "A 10766-2023")</f>
        <v/>
      </c>
      <c r="W324">
        <f>HYPERLINK("https://klasma.github.io/Logging_2262/klagomålsmail/A 10766-2023 FSC-klagomål mail.docx", "A 10766-2023")</f>
        <v/>
      </c>
      <c r="X324">
        <f>HYPERLINK("https://klasma.github.io/Logging_2262/tillsyn/A 10766-2023 tillsynsbegäran.docx", "A 10766-2023")</f>
        <v/>
      </c>
      <c r="Y324">
        <f>HYPERLINK("https://klasma.github.io/Logging_2262/tillsynsmail/A 10766-2023 tillsynsbegäran mail.docx", "A 10766-2023")</f>
        <v/>
      </c>
    </row>
    <row r="325" ht="15" customHeight="1">
      <c r="A325" t="inlineStr">
        <is>
          <t>A 16182-2023</t>
        </is>
      </c>
      <c r="B325" s="1" t="n">
        <v>45027</v>
      </c>
      <c r="C325" s="1" t="n">
        <v>45215</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 artfynd.xlsx", "A 16182-2023")</f>
        <v/>
      </c>
      <c r="T325">
        <f>HYPERLINK("https://klasma.github.io/Logging_2280/kartor/A 16182-2023 karta.png", "A 16182-2023")</f>
        <v/>
      </c>
      <c r="V325">
        <f>HYPERLINK("https://klasma.github.io/Logging_2280/klagomål/A 16182-2023 FSC-klagomål.docx", "A 16182-2023")</f>
        <v/>
      </c>
      <c r="W325">
        <f>HYPERLINK("https://klasma.github.io/Logging_2280/klagomålsmail/A 16182-2023 FSC-klagomål mail.docx", "A 16182-2023")</f>
        <v/>
      </c>
      <c r="X325">
        <f>HYPERLINK("https://klasma.github.io/Logging_2280/tillsyn/A 16182-2023 tillsynsbegäran.docx", "A 16182-2023")</f>
        <v/>
      </c>
      <c r="Y325">
        <f>HYPERLINK("https://klasma.github.io/Logging_2280/tillsynsmail/A 16182-2023 tillsynsbegäran mail.docx", "A 16182-2023")</f>
        <v/>
      </c>
    </row>
    <row r="326" ht="15" customHeight="1">
      <c r="A326" t="inlineStr">
        <is>
          <t>A 16377-2023</t>
        </is>
      </c>
      <c r="B326" s="1" t="n">
        <v>45028</v>
      </c>
      <c r="C326" s="1" t="n">
        <v>45215</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 artfynd.xlsx", "A 16377-2023")</f>
        <v/>
      </c>
      <c r="T326">
        <f>HYPERLINK("https://klasma.github.io/Logging_2281/kartor/A 16377-2023 karta.png", "A 16377-2023")</f>
        <v/>
      </c>
      <c r="V326">
        <f>HYPERLINK("https://klasma.github.io/Logging_2281/klagomål/A 16377-2023 FSC-klagomål.docx", "A 16377-2023")</f>
        <v/>
      </c>
      <c r="W326">
        <f>HYPERLINK("https://klasma.github.io/Logging_2281/klagomålsmail/A 16377-2023 FSC-klagomål mail.docx", "A 16377-2023")</f>
        <v/>
      </c>
      <c r="X326">
        <f>HYPERLINK("https://klasma.github.io/Logging_2281/tillsyn/A 16377-2023 tillsynsbegäran.docx", "A 16377-2023")</f>
        <v/>
      </c>
      <c r="Y326">
        <f>HYPERLINK("https://klasma.github.io/Logging_2281/tillsynsmail/A 16377-2023 tillsynsbegäran mail.docx", "A 16377-2023")</f>
        <v/>
      </c>
    </row>
    <row r="327" ht="15" customHeight="1">
      <c r="A327" t="inlineStr">
        <is>
          <t>A 17217-2023</t>
        </is>
      </c>
      <c r="B327" s="1" t="n">
        <v>45034</v>
      </c>
      <c r="C327" s="1" t="n">
        <v>45215</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 artfynd.xlsx", "A 17217-2023")</f>
        <v/>
      </c>
      <c r="T327">
        <f>HYPERLINK("https://klasma.github.io/Logging_2262/kartor/A 17217-2023 karta.png", "A 17217-2023")</f>
        <v/>
      </c>
      <c r="V327">
        <f>HYPERLINK("https://klasma.github.io/Logging_2262/klagomål/A 17217-2023 FSC-klagomål.docx", "A 17217-2023")</f>
        <v/>
      </c>
      <c r="W327">
        <f>HYPERLINK("https://klasma.github.io/Logging_2262/klagomålsmail/A 17217-2023 FSC-klagomål mail.docx", "A 17217-2023")</f>
        <v/>
      </c>
      <c r="X327">
        <f>HYPERLINK("https://klasma.github.io/Logging_2262/tillsyn/A 17217-2023 tillsynsbegäran.docx", "A 17217-2023")</f>
        <v/>
      </c>
      <c r="Y327">
        <f>HYPERLINK("https://klasma.github.io/Logging_2262/tillsynsmail/A 17217-2023 tillsynsbegäran mail.docx", "A 17217-2023")</f>
        <v/>
      </c>
    </row>
    <row r="328" ht="15" customHeight="1">
      <c r="A328" t="inlineStr">
        <is>
          <t>A 18765-2023</t>
        </is>
      </c>
      <c r="B328" s="1" t="n">
        <v>45043</v>
      </c>
      <c r="C328" s="1" t="n">
        <v>45215</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 artfynd.xlsx", "A 18765-2023")</f>
        <v/>
      </c>
      <c r="T328">
        <f>HYPERLINK("https://klasma.github.io/Logging_2280/kartor/A 18765-2023 karta.png", "A 18765-2023")</f>
        <v/>
      </c>
      <c r="V328">
        <f>HYPERLINK("https://klasma.github.io/Logging_2280/klagomål/A 18765-2023 FSC-klagomål.docx", "A 18765-2023")</f>
        <v/>
      </c>
      <c r="W328">
        <f>HYPERLINK("https://klasma.github.io/Logging_2280/klagomålsmail/A 18765-2023 FSC-klagomål mail.docx", "A 18765-2023")</f>
        <v/>
      </c>
      <c r="X328">
        <f>HYPERLINK("https://klasma.github.io/Logging_2280/tillsyn/A 18765-2023 tillsynsbegäran.docx", "A 18765-2023")</f>
        <v/>
      </c>
      <c r="Y328">
        <f>HYPERLINK("https://klasma.github.io/Logging_2280/tillsynsmail/A 18765-2023 tillsynsbegäran mail.docx", "A 18765-2023")</f>
        <v/>
      </c>
    </row>
    <row r="329" ht="15" customHeight="1">
      <c r="A329" t="inlineStr">
        <is>
          <t>A 20651-2023</t>
        </is>
      </c>
      <c r="B329" s="1" t="n">
        <v>45058</v>
      </c>
      <c r="C329" s="1" t="n">
        <v>45215</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 artfynd.xlsx", "A 20651-2023")</f>
        <v/>
      </c>
      <c r="T329">
        <f>HYPERLINK("https://klasma.github.io/Logging_2284/kartor/A 20651-2023 karta.png", "A 20651-2023")</f>
        <v/>
      </c>
      <c r="V329">
        <f>HYPERLINK("https://klasma.github.io/Logging_2284/klagomål/A 20651-2023 FSC-klagomål.docx", "A 20651-2023")</f>
        <v/>
      </c>
      <c r="W329">
        <f>HYPERLINK("https://klasma.github.io/Logging_2284/klagomålsmail/A 20651-2023 FSC-klagomål mail.docx", "A 20651-2023")</f>
        <v/>
      </c>
      <c r="X329">
        <f>HYPERLINK("https://klasma.github.io/Logging_2284/tillsyn/A 20651-2023 tillsynsbegäran.docx", "A 20651-2023")</f>
        <v/>
      </c>
      <c r="Y329">
        <f>HYPERLINK("https://klasma.github.io/Logging_2284/tillsynsmail/A 20651-2023 tillsynsbegäran mail.docx", "A 20651-2023")</f>
        <v/>
      </c>
    </row>
    <row r="330" ht="15" customHeight="1">
      <c r="A330" t="inlineStr">
        <is>
          <t>A 20781-2023</t>
        </is>
      </c>
      <c r="B330" s="1" t="n">
        <v>45058</v>
      </c>
      <c r="C330" s="1" t="n">
        <v>45215</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 artfynd.xlsx", "A 20781-2023")</f>
        <v/>
      </c>
      <c r="T330">
        <f>HYPERLINK("https://klasma.github.io/Logging_2283/kartor/A 20781-2023 karta.png", "A 20781-2023")</f>
        <v/>
      </c>
      <c r="U330">
        <f>HYPERLINK("https://klasma.github.io/Logging_2283/knärot/A 20781-2023 karta knärot.png", "A 20781-2023")</f>
        <v/>
      </c>
      <c r="V330">
        <f>HYPERLINK("https://klasma.github.io/Logging_2283/klagomål/A 20781-2023 FSC-klagomål.docx", "A 20781-2023")</f>
        <v/>
      </c>
      <c r="W330">
        <f>HYPERLINK("https://klasma.github.io/Logging_2283/klagomålsmail/A 20781-2023 FSC-klagomål mail.docx", "A 20781-2023")</f>
        <v/>
      </c>
      <c r="X330">
        <f>HYPERLINK("https://klasma.github.io/Logging_2283/tillsyn/A 20781-2023 tillsynsbegäran.docx", "A 20781-2023")</f>
        <v/>
      </c>
      <c r="Y330">
        <f>HYPERLINK("https://klasma.github.io/Logging_2283/tillsynsmail/A 20781-2023 tillsynsbegäran mail.docx", "A 20781-2023")</f>
        <v/>
      </c>
    </row>
    <row r="331" ht="15" customHeight="1">
      <c r="A331" t="inlineStr">
        <is>
          <t>A 21342-2023</t>
        </is>
      </c>
      <c r="B331" s="1" t="n">
        <v>45062</v>
      </c>
      <c r="C331" s="1" t="n">
        <v>45215</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 artfynd.xlsx", "A 21342-2023")</f>
        <v/>
      </c>
      <c r="T331">
        <f>HYPERLINK("https://klasma.github.io/Logging_2283/kartor/A 21342-2023 karta.png", "A 21342-2023")</f>
        <v/>
      </c>
      <c r="V331">
        <f>HYPERLINK("https://klasma.github.io/Logging_2283/klagomål/A 21342-2023 FSC-klagomål.docx", "A 21342-2023")</f>
        <v/>
      </c>
      <c r="W331">
        <f>HYPERLINK("https://klasma.github.io/Logging_2283/klagomålsmail/A 21342-2023 FSC-klagomål mail.docx", "A 21342-2023")</f>
        <v/>
      </c>
      <c r="X331">
        <f>HYPERLINK("https://klasma.github.io/Logging_2283/tillsyn/A 21342-2023 tillsynsbegäran.docx", "A 21342-2023")</f>
        <v/>
      </c>
      <c r="Y331">
        <f>HYPERLINK("https://klasma.github.io/Logging_2283/tillsynsmail/A 21342-2023 tillsynsbegäran mail.docx", "A 21342-2023")</f>
        <v/>
      </c>
    </row>
    <row r="332" ht="15" customHeight="1">
      <c r="A332" t="inlineStr">
        <is>
          <t>A 21343-2023</t>
        </is>
      </c>
      <c r="B332" s="1" t="n">
        <v>45062</v>
      </c>
      <c r="C332" s="1" t="n">
        <v>45215</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 artfynd.xlsx", "A 21343-2023")</f>
        <v/>
      </c>
      <c r="T332">
        <f>HYPERLINK("https://klasma.github.io/Logging_2283/kartor/A 21343-2023 karta.png", "A 21343-2023")</f>
        <v/>
      </c>
      <c r="V332">
        <f>HYPERLINK("https://klasma.github.io/Logging_2283/klagomål/A 21343-2023 FSC-klagomål.docx", "A 21343-2023")</f>
        <v/>
      </c>
      <c r="W332">
        <f>HYPERLINK("https://klasma.github.io/Logging_2283/klagomålsmail/A 21343-2023 FSC-klagomål mail.docx", "A 21343-2023")</f>
        <v/>
      </c>
      <c r="X332">
        <f>HYPERLINK("https://klasma.github.io/Logging_2283/tillsyn/A 21343-2023 tillsynsbegäran.docx", "A 21343-2023")</f>
        <v/>
      </c>
      <c r="Y332">
        <f>HYPERLINK("https://klasma.github.io/Logging_2283/tillsynsmail/A 21343-2023 tillsynsbegäran mail.docx", "A 21343-2023")</f>
        <v/>
      </c>
    </row>
    <row r="333" ht="15" customHeight="1">
      <c r="A333" t="inlineStr">
        <is>
          <t>A 22996-2023</t>
        </is>
      </c>
      <c r="B333" s="1" t="n">
        <v>45072</v>
      </c>
      <c r="C333" s="1" t="n">
        <v>45215</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 artfynd.xlsx", "A 22996-2023")</f>
        <v/>
      </c>
      <c r="T333">
        <f>HYPERLINK("https://klasma.github.io/Logging_2260/kartor/A 22996-2023 karta.png", "A 22996-2023")</f>
        <v/>
      </c>
      <c r="U333">
        <f>HYPERLINK("https://klasma.github.io/Logging_2260/knärot/A 22996-2023 karta knärot.png", "A 22996-2023")</f>
        <v/>
      </c>
      <c r="V333">
        <f>HYPERLINK("https://klasma.github.io/Logging_2260/klagomål/A 22996-2023 FSC-klagomål.docx", "A 22996-2023")</f>
        <v/>
      </c>
      <c r="W333">
        <f>HYPERLINK("https://klasma.github.io/Logging_2260/klagomålsmail/A 22996-2023 FSC-klagomål mail.docx", "A 22996-2023")</f>
        <v/>
      </c>
      <c r="X333">
        <f>HYPERLINK("https://klasma.github.io/Logging_2260/tillsyn/A 22996-2023 tillsynsbegäran.docx", "A 22996-2023")</f>
        <v/>
      </c>
      <c r="Y333">
        <f>HYPERLINK("https://klasma.github.io/Logging_2260/tillsynsmail/A 22996-2023 tillsynsbegäran mail.docx", "A 22996-2023")</f>
        <v/>
      </c>
    </row>
    <row r="334" ht="15" customHeight="1">
      <c r="A334" t="inlineStr">
        <is>
          <t>A 23782-2023</t>
        </is>
      </c>
      <c r="B334" s="1" t="n">
        <v>45077</v>
      </c>
      <c r="C334" s="1" t="n">
        <v>45215</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 artfynd.xlsx", "A 23782-2023")</f>
        <v/>
      </c>
      <c r="T334">
        <f>HYPERLINK("https://klasma.github.io/Logging_2283/kartor/A 23782-2023 karta.png", "A 23782-2023")</f>
        <v/>
      </c>
      <c r="V334">
        <f>HYPERLINK("https://klasma.github.io/Logging_2283/klagomål/A 23782-2023 FSC-klagomål.docx", "A 23782-2023")</f>
        <v/>
      </c>
      <c r="W334">
        <f>HYPERLINK("https://klasma.github.io/Logging_2283/klagomålsmail/A 23782-2023 FSC-klagomål mail.docx", "A 23782-2023")</f>
        <v/>
      </c>
      <c r="X334">
        <f>HYPERLINK("https://klasma.github.io/Logging_2283/tillsyn/A 23782-2023 tillsynsbegäran.docx", "A 23782-2023")</f>
        <v/>
      </c>
      <c r="Y334">
        <f>HYPERLINK("https://klasma.github.io/Logging_2283/tillsynsmail/A 23782-2023 tillsynsbegäran mail.docx", "A 23782-2023")</f>
        <v/>
      </c>
    </row>
    <row r="335" ht="15" customHeight="1">
      <c r="A335" t="inlineStr">
        <is>
          <t>A 24051-2023</t>
        </is>
      </c>
      <c r="B335" s="1" t="n">
        <v>45078</v>
      </c>
      <c r="C335" s="1" t="n">
        <v>45215</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 artfynd.xlsx", "A 24051-2023")</f>
        <v/>
      </c>
      <c r="T335">
        <f>HYPERLINK("https://klasma.github.io/Logging_2281/kartor/A 24051-2023 karta.png", "A 24051-2023")</f>
        <v/>
      </c>
      <c r="U335">
        <f>HYPERLINK("https://klasma.github.io/Logging_2281/knärot/A 24051-2023 karta knärot.png", "A 24051-2023")</f>
        <v/>
      </c>
      <c r="V335">
        <f>HYPERLINK("https://klasma.github.io/Logging_2281/klagomål/A 24051-2023 FSC-klagomål.docx", "A 24051-2023")</f>
        <v/>
      </c>
      <c r="W335">
        <f>HYPERLINK("https://klasma.github.io/Logging_2281/klagomålsmail/A 24051-2023 FSC-klagomål mail.docx", "A 24051-2023")</f>
        <v/>
      </c>
      <c r="X335">
        <f>HYPERLINK("https://klasma.github.io/Logging_2281/tillsyn/A 24051-2023 tillsynsbegäran.docx", "A 24051-2023")</f>
        <v/>
      </c>
      <c r="Y335">
        <f>HYPERLINK("https://klasma.github.io/Logging_2281/tillsynsmail/A 24051-2023 tillsynsbegäran mail.docx", "A 24051-2023")</f>
        <v/>
      </c>
    </row>
    <row r="336" ht="15" customHeight="1">
      <c r="A336" t="inlineStr">
        <is>
          <t>A 26007-2023</t>
        </is>
      </c>
      <c r="B336" s="1" t="n">
        <v>45090</v>
      </c>
      <c r="C336" s="1" t="n">
        <v>45215</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 artfynd.xlsx", "A 26007-2023")</f>
        <v/>
      </c>
      <c r="T336">
        <f>HYPERLINK("https://klasma.github.io/Logging_2280/kartor/A 26007-2023 karta.png", "A 26007-2023")</f>
        <v/>
      </c>
      <c r="V336">
        <f>HYPERLINK("https://klasma.github.io/Logging_2280/klagomål/A 26007-2023 FSC-klagomål.docx", "A 26007-2023")</f>
        <v/>
      </c>
      <c r="W336">
        <f>HYPERLINK("https://klasma.github.io/Logging_2280/klagomålsmail/A 26007-2023 FSC-klagomål mail.docx", "A 26007-2023")</f>
        <v/>
      </c>
      <c r="X336">
        <f>HYPERLINK("https://klasma.github.io/Logging_2280/tillsyn/A 26007-2023 tillsynsbegäran.docx", "A 26007-2023")</f>
        <v/>
      </c>
      <c r="Y336">
        <f>HYPERLINK("https://klasma.github.io/Logging_2280/tillsynsmail/A 26007-2023 tillsynsbegäran mail.docx", "A 26007-2023")</f>
        <v/>
      </c>
    </row>
    <row r="337" ht="15" customHeight="1">
      <c r="A337" t="inlineStr">
        <is>
          <t>A 26151-2023</t>
        </is>
      </c>
      <c r="B337" s="1" t="n">
        <v>45091</v>
      </c>
      <c r="C337" s="1" t="n">
        <v>45215</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 artfynd.xlsx", "A 26151-2023")</f>
        <v/>
      </c>
      <c r="T337">
        <f>HYPERLINK("https://klasma.github.io/Logging_2284/kartor/A 26151-2023 karta.png", "A 26151-2023")</f>
        <v/>
      </c>
      <c r="V337">
        <f>HYPERLINK("https://klasma.github.io/Logging_2284/klagomål/A 26151-2023 FSC-klagomål.docx", "A 26151-2023")</f>
        <v/>
      </c>
      <c r="W337">
        <f>HYPERLINK("https://klasma.github.io/Logging_2284/klagomålsmail/A 26151-2023 FSC-klagomål mail.docx", "A 26151-2023")</f>
        <v/>
      </c>
      <c r="X337">
        <f>HYPERLINK("https://klasma.github.io/Logging_2284/tillsyn/A 26151-2023 tillsynsbegäran.docx", "A 26151-2023")</f>
        <v/>
      </c>
      <c r="Y337">
        <f>HYPERLINK("https://klasma.github.io/Logging_2284/tillsynsmail/A 26151-2023 tillsynsbegäran mail.docx", "A 26151-2023")</f>
        <v/>
      </c>
    </row>
    <row r="338" ht="15" customHeight="1">
      <c r="A338" t="inlineStr">
        <is>
          <t>A 26361-2023</t>
        </is>
      </c>
      <c r="B338" s="1" t="n">
        <v>45091</v>
      </c>
      <c r="C338" s="1" t="n">
        <v>45215</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 artfynd.xlsx", "A 26361-2023")</f>
        <v/>
      </c>
      <c r="T338">
        <f>HYPERLINK("https://klasma.github.io/Logging_2260/kartor/A 26361-2023 karta.png", "A 26361-2023")</f>
        <v/>
      </c>
      <c r="U338">
        <f>HYPERLINK("https://klasma.github.io/Logging_2260/knärot/A 26361-2023 karta knärot.png", "A 26361-2023")</f>
        <v/>
      </c>
      <c r="V338">
        <f>HYPERLINK("https://klasma.github.io/Logging_2260/klagomål/A 26361-2023 FSC-klagomål.docx", "A 26361-2023")</f>
        <v/>
      </c>
      <c r="W338">
        <f>HYPERLINK("https://klasma.github.io/Logging_2260/klagomålsmail/A 26361-2023 FSC-klagomål mail.docx", "A 26361-2023")</f>
        <v/>
      </c>
      <c r="X338">
        <f>HYPERLINK("https://klasma.github.io/Logging_2260/tillsyn/A 26361-2023 tillsynsbegäran.docx", "A 26361-2023")</f>
        <v/>
      </c>
      <c r="Y338">
        <f>HYPERLINK("https://klasma.github.io/Logging_2260/tillsynsmail/A 26361-2023 tillsynsbegäran mail.docx", "A 26361-2023")</f>
        <v/>
      </c>
    </row>
    <row r="339" ht="15" customHeight="1">
      <c r="A339" t="inlineStr">
        <is>
          <t>A 27390-2023</t>
        </is>
      </c>
      <c r="B339" s="1" t="n">
        <v>45096</v>
      </c>
      <c r="C339" s="1" t="n">
        <v>45215</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 artfynd.xlsx", "A 27390-2023")</f>
        <v/>
      </c>
      <c r="T339">
        <f>HYPERLINK("https://klasma.github.io/Logging_2281/kartor/A 27390-2023 karta.png", "A 27390-2023")</f>
        <v/>
      </c>
      <c r="V339">
        <f>HYPERLINK("https://klasma.github.io/Logging_2281/klagomål/A 27390-2023 FSC-klagomål.docx", "A 27390-2023")</f>
        <v/>
      </c>
      <c r="W339">
        <f>HYPERLINK("https://klasma.github.io/Logging_2281/klagomålsmail/A 27390-2023 FSC-klagomål mail.docx", "A 27390-2023")</f>
        <v/>
      </c>
      <c r="X339">
        <f>HYPERLINK("https://klasma.github.io/Logging_2281/tillsyn/A 27390-2023 tillsynsbegäran.docx", "A 27390-2023")</f>
        <v/>
      </c>
      <c r="Y339">
        <f>HYPERLINK("https://klasma.github.io/Logging_2281/tillsynsmail/A 27390-2023 tillsynsbegäran mail.docx", "A 27390-2023")</f>
        <v/>
      </c>
    </row>
    <row r="340" ht="15" customHeight="1">
      <c r="A340" t="inlineStr">
        <is>
          <t>A 28274-2023</t>
        </is>
      </c>
      <c r="B340" s="1" t="n">
        <v>45099</v>
      </c>
      <c r="C340" s="1" t="n">
        <v>45215</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 artfynd.xlsx", "A 28274-2023")</f>
        <v/>
      </c>
      <c r="T340">
        <f>HYPERLINK("https://klasma.github.io/Logging_2260/kartor/A 28274-2023 karta.png", "A 28274-2023")</f>
        <v/>
      </c>
      <c r="U340">
        <f>HYPERLINK("https://klasma.github.io/Logging_2260/knärot/A 28274-2023 karta knärot.png", "A 28274-2023")</f>
        <v/>
      </c>
      <c r="V340">
        <f>HYPERLINK("https://klasma.github.io/Logging_2260/klagomål/A 28274-2023 FSC-klagomål.docx", "A 28274-2023")</f>
        <v/>
      </c>
      <c r="W340">
        <f>HYPERLINK("https://klasma.github.io/Logging_2260/klagomålsmail/A 28274-2023 FSC-klagomål mail.docx", "A 28274-2023")</f>
        <v/>
      </c>
      <c r="X340">
        <f>HYPERLINK("https://klasma.github.io/Logging_2260/tillsyn/A 28274-2023 tillsynsbegäran.docx", "A 28274-2023")</f>
        <v/>
      </c>
      <c r="Y340">
        <f>HYPERLINK("https://klasma.github.io/Logging_2260/tillsynsmail/A 28274-2023 tillsynsbegäran mail.docx", "A 28274-2023")</f>
        <v/>
      </c>
    </row>
    <row r="341" ht="15" customHeight="1">
      <c r="A341" t="inlineStr">
        <is>
          <t>A 30839-2023</t>
        </is>
      </c>
      <c r="B341" s="1" t="n">
        <v>45112</v>
      </c>
      <c r="C341" s="1" t="n">
        <v>45215</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 artfynd.xlsx", "A 30839-2023")</f>
        <v/>
      </c>
      <c r="T341">
        <f>HYPERLINK("https://klasma.github.io/Logging_2260/kartor/A 30839-2023 karta.png", "A 30839-2023")</f>
        <v/>
      </c>
      <c r="U341">
        <f>HYPERLINK("https://klasma.github.io/Logging_2260/knärot/A 30839-2023 karta knärot.png", "A 30839-2023")</f>
        <v/>
      </c>
      <c r="V341">
        <f>HYPERLINK("https://klasma.github.io/Logging_2260/klagomål/A 30839-2023 FSC-klagomål.docx", "A 30839-2023")</f>
        <v/>
      </c>
      <c r="W341">
        <f>HYPERLINK("https://klasma.github.io/Logging_2260/klagomålsmail/A 30839-2023 FSC-klagomål mail.docx", "A 30839-2023")</f>
        <v/>
      </c>
      <c r="X341">
        <f>HYPERLINK("https://klasma.github.io/Logging_2260/tillsyn/A 30839-2023 tillsynsbegäran.docx", "A 30839-2023")</f>
        <v/>
      </c>
      <c r="Y341">
        <f>HYPERLINK("https://klasma.github.io/Logging_2260/tillsynsmail/A 30839-2023 tillsynsbegäran mail.docx", "A 30839-2023")</f>
        <v/>
      </c>
    </row>
    <row r="342" ht="15" customHeight="1">
      <c r="A342" t="inlineStr">
        <is>
          <t>A 37799-2023</t>
        </is>
      </c>
      <c r="B342" s="1" t="n">
        <v>45159</v>
      </c>
      <c r="C342" s="1" t="n">
        <v>45215</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 artfynd.xlsx", "A 37799-2023")</f>
        <v/>
      </c>
      <c r="T342">
        <f>HYPERLINK("https://klasma.github.io/Logging_2262/kartor/A 37799-2023 karta.png", "A 37799-2023")</f>
        <v/>
      </c>
      <c r="V342">
        <f>HYPERLINK("https://klasma.github.io/Logging_2262/klagomål/A 37799-2023 FSC-klagomål.docx", "A 37799-2023")</f>
        <v/>
      </c>
      <c r="W342">
        <f>HYPERLINK("https://klasma.github.io/Logging_2262/klagomålsmail/A 37799-2023 FSC-klagomål mail.docx", "A 37799-2023")</f>
        <v/>
      </c>
      <c r="X342">
        <f>HYPERLINK("https://klasma.github.io/Logging_2262/tillsyn/A 37799-2023 tillsynsbegäran.docx", "A 37799-2023")</f>
        <v/>
      </c>
      <c r="Y342">
        <f>HYPERLINK("https://klasma.github.io/Logging_2262/tillsynsmail/A 37799-2023 tillsynsbegäran mail.docx", "A 37799-2023")</f>
        <v/>
      </c>
    </row>
    <row r="343" ht="15" customHeight="1">
      <c r="A343" t="inlineStr">
        <is>
          <t>A 38096-2023</t>
        </is>
      </c>
      <c r="B343" s="1" t="n">
        <v>45160</v>
      </c>
      <c r="C343" s="1" t="n">
        <v>45215</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 artfynd.xlsx", "A 38096-2023")</f>
        <v/>
      </c>
      <c r="T343">
        <f>HYPERLINK("https://klasma.github.io/Logging_2281/kartor/A 38096-2023 karta.png", "A 38096-2023")</f>
        <v/>
      </c>
      <c r="V343">
        <f>HYPERLINK("https://klasma.github.io/Logging_2281/klagomål/A 38096-2023 FSC-klagomål.docx", "A 38096-2023")</f>
        <v/>
      </c>
      <c r="W343">
        <f>HYPERLINK("https://klasma.github.io/Logging_2281/klagomålsmail/A 38096-2023 FSC-klagomål mail.docx", "A 38096-2023")</f>
        <v/>
      </c>
      <c r="X343">
        <f>HYPERLINK("https://klasma.github.io/Logging_2281/tillsyn/A 38096-2023 tillsynsbegäran.docx", "A 38096-2023")</f>
        <v/>
      </c>
      <c r="Y343">
        <f>HYPERLINK("https://klasma.github.io/Logging_2281/tillsynsmail/A 38096-2023 tillsynsbegäran mail.docx", "A 38096-2023")</f>
        <v/>
      </c>
    </row>
    <row r="344" ht="15" customHeight="1">
      <c r="A344" t="inlineStr">
        <is>
          <t>A 58579-2018</t>
        </is>
      </c>
      <c r="B344" s="1" t="n">
        <v>43409</v>
      </c>
      <c r="C344" s="1" t="n">
        <v>45215</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 artfynd.xlsx", "A 58579-2018")</f>
        <v/>
      </c>
      <c r="T344">
        <f>HYPERLINK("https://klasma.github.io/Logging_2283/kartor/A 58579-2018 karta.png", "A 58579-2018")</f>
        <v/>
      </c>
      <c r="V344">
        <f>HYPERLINK("https://klasma.github.io/Logging_2283/klagomål/A 58579-2018 FSC-klagomål.docx", "A 58579-2018")</f>
        <v/>
      </c>
      <c r="W344">
        <f>HYPERLINK("https://klasma.github.io/Logging_2283/klagomålsmail/A 58579-2018 FSC-klagomål mail.docx", "A 58579-2018")</f>
        <v/>
      </c>
      <c r="X344">
        <f>HYPERLINK("https://klasma.github.io/Logging_2283/tillsyn/A 58579-2018 tillsynsbegäran.docx", "A 58579-2018")</f>
        <v/>
      </c>
      <c r="Y344">
        <f>HYPERLINK("https://klasma.github.io/Logging_2283/tillsynsmail/A 58579-2018 tillsynsbegäran mail.docx", "A 58579-2018")</f>
        <v/>
      </c>
    </row>
    <row r="345" ht="15" customHeight="1">
      <c r="A345" t="inlineStr">
        <is>
          <t>A 60182-2018</t>
        </is>
      </c>
      <c r="B345" s="1" t="n">
        <v>43412</v>
      </c>
      <c r="C345" s="1" t="n">
        <v>45215</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 artfynd.xlsx", "A 60182-2018")</f>
        <v/>
      </c>
      <c r="T345">
        <f>HYPERLINK("https://klasma.github.io/Logging_2281/kartor/A 60182-2018 karta.png", "A 60182-2018")</f>
        <v/>
      </c>
      <c r="V345">
        <f>HYPERLINK("https://klasma.github.io/Logging_2281/klagomål/A 60182-2018 FSC-klagomål.docx", "A 60182-2018")</f>
        <v/>
      </c>
      <c r="W345">
        <f>HYPERLINK("https://klasma.github.io/Logging_2281/klagomålsmail/A 60182-2018 FSC-klagomål mail.docx", "A 60182-2018")</f>
        <v/>
      </c>
      <c r="X345">
        <f>HYPERLINK("https://klasma.github.io/Logging_2281/tillsyn/A 60182-2018 tillsynsbegäran.docx", "A 60182-2018")</f>
        <v/>
      </c>
      <c r="Y345">
        <f>HYPERLINK("https://klasma.github.io/Logging_2281/tillsynsmail/A 60182-2018 tillsynsbegäran mail.docx", "A 60182-2018")</f>
        <v/>
      </c>
    </row>
    <row r="346" ht="15" customHeight="1">
      <c r="A346" t="inlineStr">
        <is>
          <t>A 61641-2018</t>
        </is>
      </c>
      <c r="B346" s="1" t="n">
        <v>43424</v>
      </c>
      <c r="C346" s="1" t="n">
        <v>45215</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 artfynd.xlsx", "A 61641-2018")</f>
        <v/>
      </c>
      <c r="T346">
        <f>HYPERLINK("https://klasma.github.io/Logging_2260/kartor/A 61641-2018 karta.png", "A 61641-2018")</f>
        <v/>
      </c>
      <c r="V346">
        <f>HYPERLINK("https://klasma.github.io/Logging_2260/klagomål/A 61641-2018 FSC-klagomål.docx", "A 61641-2018")</f>
        <v/>
      </c>
      <c r="W346">
        <f>HYPERLINK("https://klasma.github.io/Logging_2260/klagomålsmail/A 61641-2018 FSC-klagomål mail.docx", "A 61641-2018")</f>
        <v/>
      </c>
      <c r="X346">
        <f>HYPERLINK("https://klasma.github.io/Logging_2260/tillsyn/A 61641-2018 tillsynsbegäran.docx", "A 61641-2018")</f>
        <v/>
      </c>
      <c r="Y346">
        <f>HYPERLINK("https://klasma.github.io/Logging_2260/tillsynsmail/A 61641-2018 tillsynsbegäran mail.docx", "A 61641-2018")</f>
        <v/>
      </c>
    </row>
    <row r="347" ht="15" customHeight="1">
      <c r="A347" t="inlineStr">
        <is>
          <t>A 3782-2019</t>
        </is>
      </c>
      <c r="B347" s="1" t="n">
        <v>43481</v>
      </c>
      <c r="C347" s="1" t="n">
        <v>45215</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 artfynd.xlsx", "A 3782-2019")</f>
        <v/>
      </c>
      <c r="T347">
        <f>HYPERLINK("https://klasma.github.io/Logging_2283/kartor/A 3782-2019 karta.png", "A 3782-2019")</f>
        <v/>
      </c>
      <c r="V347">
        <f>HYPERLINK("https://klasma.github.io/Logging_2283/klagomål/A 3782-2019 FSC-klagomål.docx", "A 3782-2019")</f>
        <v/>
      </c>
      <c r="W347">
        <f>HYPERLINK("https://klasma.github.io/Logging_2283/klagomålsmail/A 3782-2019 FSC-klagomål mail.docx", "A 3782-2019")</f>
        <v/>
      </c>
      <c r="X347">
        <f>HYPERLINK("https://klasma.github.io/Logging_2283/tillsyn/A 3782-2019 tillsynsbegäran.docx", "A 3782-2019")</f>
        <v/>
      </c>
      <c r="Y347">
        <f>HYPERLINK("https://klasma.github.io/Logging_2283/tillsynsmail/A 3782-2019 tillsynsbegäran mail.docx", "A 3782-2019")</f>
        <v/>
      </c>
    </row>
    <row r="348" ht="15" customHeight="1">
      <c r="A348" t="inlineStr">
        <is>
          <t>A 7140-2019</t>
        </is>
      </c>
      <c r="B348" s="1" t="n">
        <v>43496</v>
      </c>
      <c r="C348" s="1" t="n">
        <v>45215</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 artfynd.xlsx", "A 7140-2019")</f>
        <v/>
      </c>
      <c r="T348">
        <f>HYPERLINK("https://klasma.github.io/Logging_2260/kartor/A 7140-2019 karta.png", "A 7140-2019")</f>
        <v/>
      </c>
      <c r="V348">
        <f>HYPERLINK("https://klasma.github.io/Logging_2260/klagomål/A 7140-2019 FSC-klagomål.docx", "A 7140-2019")</f>
        <v/>
      </c>
      <c r="W348">
        <f>HYPERLINK("https://klasma.github.io/Logging_2260/klagomålsmail/A 7140-2019 FSC-klagomål mail.docx", "A 7140-2019")</f>
        <v/>
      </c>
      <c r="X348">
        <f>HYPERLINK("https://klasma.github.io/Logging_2260/tillsyn/A 7140-2019 tillsynsbegäran.docx", "A 7140-2019")</f>
        <v/>
      </c>
      <c r="Y348">
        <f>HYPERLINK("https://klasma.github.io/Logging_2260/tillsynsmail/A 7140-2019 tillsynsbegäran mail.docx", "A 7140-2019")</f>
        <v/>
      </c>
    </row>
    <row r="349" ht="15" customHeight="1">
      <c r="A349" t="inlineStr">
        <is>
          <t>A 9516-2019</t>
        </is>
      </c>
      <c r="B349" s="1" t="n">
        <v>43507</v>
      </c>
      <c r="C349" s="1" t="n">
        <v>45215</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 artfynd.xlsx", "A 9516-2019")</f>
        <v/>
      </c>
      <c r="T349">
        <f>HYPERLINK("https://klasma.github.io/Logging_2281/kartor/A 9516-2019 karta.png", "A 9516-2019")</f>
        <v/>
      </c>
      <c r="V349">
        <f>HYPERLINK("https://klasma.github.io/Logging_2281/klagomål/A 9516-2019 FSC-klagomål.docx", "A 9516-2019")</f>
        <v/>
      </c>
      <c r="W349">
        <f>HYPERLINK("https://klasma.github.io/Logging_2281/klagomålsmail/A 9516-2019 FSC-klagomål mail.docx", "A 9516-2019")</f>
        <v/>
      </c>
      <c r="X349">
        <f>HYPERLINK("https://klasma.github.io/Logging_2281/tillsyn/A 9516-2019 tillsynsbegäran.docx", "A 9516-2019")</f>
        <v/>
      </c>
      <c r="Y349">
        <f>HYPERLINK("https://klasma.github.io/Logging_2281/tillsynsmail/A 9516-2019 tillsynsbegäran mail.docx", "A 9516-2019")</f>
        <v/>
      </c>
    </row>
    <row r="350" ht="15" customHeight="1">
      <c r="A350" t="inlineStr">
        <is>
          <t>A 16561-2019</t>
        </is>
      </c>
      <c r="B350" s="1" t="n">
        <v>43546</v>
      </c>
      <c r="C350" s="1" t="n">
        <v>45215</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 artfynd.xlsx", "A 16561-2019")</f>
        <v/>
      </c>
      <c r="T350">
        <f>HYPERLINK("https://klasma.github.io/Logging_2282/kartor/A 16561-2019 karta.png", "A 16561-2019")</f>
        <v/>
      </c>
      <c r="V350">
        <f>HYPERLINK("https://klasma.github.io/Logging_2282/klagomål/A 16561-2019 FSC-klagomål.docx", "A 16561-2019")</f>
        <v/>
      </c>
      <c r="W350">
        <f>HYPERLINK("https://klasma.github.io/Logging_2282/klagomålsmail/A 16561-2019 FSC-klagomål mail.docx", "A 16561-2019")</f>
        <v/>
      </c>
      <c r="X350">
        <f>HYPERLINK("https://klasma.github.io/Logging_2282/tillsyn/A 16561-2019 tillsynsbegäran.docx", "A 16561-2019")</f>
        <v/>
      </c>
      <c r="Y350">
        <f>HYPERLINK("https://klasma.github.io/Logging_2282/tillsynsmail/A 16561-2019 tillsynsbegäran mail.docx", "A 16561-2019")</f>
        <v/>
      </c>
    </row>
    <row r="351" ht="15" customHeight="1">
      <c r="A351" t="inlineStr">
        <is>
          <t>A 34494-2019</t>
        </is>
      </c>
      <c r="B351" s="1" t="n">
        <v>43656</v>
      </c>
      <c r="C351" s="1" t="n">
        <v>45215</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 artfynd.xlsx", "A 34494-2019")</f>
        <v/>
      </c>
      <c r="T351">
        <f>HYPERLINK("https://klasma.github.io/Logging_2260/kartor/A 34494-2019 karta.png", "A 34494-2019")</f>
        <v/>
      </c>
      <c r="V351">
        <f>HYPERLINK("https://klasma.github.io/Logging_2260/klagomål/A 34494-2019 FSC-klagomål.docx", "A 34494-2019")</f>
        <v/>
      </c>
      <c r="W351">
        <f>HYPERLINK("https://klasma.github.io/Logging_2260/klagomålsmail/A 34494-2019 FSC-klagomål mail.docx", "A 34494-2019")</f>
        <v/>
      </c>
      <c r="X351">
        <f>HYPERLINK("https://klasma.github.io/Logging_2260/tillsyn/A 34494-2019 tillsynsbegäran.docx", "A 34494-2019")</f>
        <v/>
      </c>
      <c r="Y351">
        <f>HYPERLINK("https://klasma.github.io/Logging_2260/tillsynsmail/A 34494-2019 tillsynsbegäran mail.docx", "A 34494-2019")</f>
        <v/>
      </c>
    </row>
    <row r="352" ht="15" customHeight="1">
      <c r="A352" t="inlineStr">
        <is>
          <t>A 34918-2019</t>
        </is>
      </c>
      <c r="B352" s="1" t="n">
        <v>43658</v>
      </c>
      <c r="C352" s="1" t="n">
        <v>45215</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 artfynd.xlsx", "A 34918-2019")</f>
        <v/>
      </c>
      <c r="T352">
        <f>HYPERLINK("https://klasma.github.io/Logging_2283/kartor/A 34918-2019 karta.png", "A 34918-2019")</f>
        <v/>
      </c>
      <c r="V352">
        <f>HYPERLINK("https://klasma.github.io/Logging_2283/klagomål/A 34918-2019 FSC-klagomål.docx", "A 34918-2019")</f>
        <v/>
      </c>
      <c r="W352">
        <f>HYPERLINK("https://klasma.github.io/Logging_2283/klagomålsmail/A 34918-2019 FSC-klagomål mail.docx", "A 34918-2019")</f>
        <v/>
      </c>
      <c r="X352">
        <f>HYPERLINK("https://klasma.github.io/Logging_2283/tillsyn/A 34918-2019 tillsynsbegäran.docx", "A 34918-2019")</f>
        <v/>
      </c>
      <c r="Y352">
        <f>HYPERLINK("https://klasma.github.io/Logging_2283/tillsynsmail/A 34918-2019 tillsynsbegäran mail.docx", "A 34918-2019")</f>
        <v/>
      </c>
    </row>
    <row r="353" ht="15" customHeight="1">
      <c r="A353" t="inlineStr">
        <is>
          <t>A 38332-2019</t>
        </is>
      </c>
      <c r="B353" s="1" t="n">
        <v>43684</v>
      </c>
      <c r="C353" s="1" t="n">
        <v>45215</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 artfynd.xlsx", "A 38332-2019")</f>
        <v/>
      </c>
      <c r="T353">
        <f>HYPERLINK("https://klasma.github.io/Logging_2260/kartor/A 38332-2019 karta.png", "A 38332-2019")</f>
        <v/>
      </c>
      <c r="V353">
        <f>HYPERLINK("https://klasma.github.io/Logging_2260/klagomål/A 38332-2019 FSC-klagomål.docx", "A 38332-2019")</f>
        <v/>
      </c>
      <c r="W353">
        <f>HYPERLINK("https://klasma.github.io/Logging_2260/klagomålsmail/A 38332-2019 FSC-klagomål mail.docx", "A 38332-2019")</f>
        <v/>
      </c>
      <c r="X353">
        <f>HYPERLINK("https://klasma.github.io/Logging_2260/tillsyn/A 38332-2019 tillsynsbegäran.docx", "A 38332-2019")</f>
        <v/>
      </c>
      <c r="Y353">
        <f>HYPERLINK("https://klasma.github.io/Logging_2260/tillsynsmail/A 38332-2019 tillsynsbegäran mail.docx", "A 38332-2019")</f>
        <v/>
      </c>
    </row>
    <row r="354" ht="15" customHeight="1">
      <c r="A354" t="inlineStr">
        <is>
          <t>A 45006-2019</t>
        </is>
      </c>
      <c r="B354" s="1" t="n">
        <v>43707</v>
      </c>
      <c r="C354" s="1" t="n">
        <v>45215</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 artfynd.xlsx", "A 45006-2019")</f>
        <v/>
      </c>
      <c r="T354">
        <f>HYPERLINK("https://klasma.github.io/Logging_2282/kartor/A 45006-2019 karta.png", "A 45006-2019")</f>
        <v/>
      </c>
      <c r="V354">
        <f>HYPERLINK("https://klasma.github.io/Logging_2282/klagomål/A 45006-2019 FSC-klagomål.docx", "A 45006-2019")</f>
        <v/>
      </c>
      <c r="W354">
        <f>HYPERLINK("https://klasma.github.io/Logging_2282/klagomålsmail/A 45006-2019 FSC-klagomål mail.docx", "A 45006-2019")</f>
        <v/>
      </c>
      <c r="X354">
        <f>HYPERLINK("https://klasma.github.io/Logging_2282/tillsyn/A 45006-2019 tillsynsbegäran.docx", "A 45006-2019")</f>
        <v/>
      </c>
      <c r="Y354">
        <f>HYPERLINK("https://klasma.github.io/Logging_2282/tillsynsmail/A 45006-2019 tillsynsbegäran mail.docx", "A 45006-2019")</f>
        <v/>
      </c>
    </row>
    <row r="355" ht="15" customHeight="1">
      <c r="A355" t="inlineStr">
        <is>
          <t>A 47808-2019</t>
        </is>
      </c>
      <c r="B355" s="1" t="n">
        <v>43724</v>
      </c>
      <c r="C355" s="1" t="n">
        <v>45215</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 artfynd.xlsx", "A 47808-2019")</f>
        <v/>
      </c>
      <c r="T355">
        <f>HYPERLINK("https://klasma.github.io/Logging_2281/kartor/A 47808-2019 karta.png", "A 47808-2019")</f>
        <v/>
      </c>
      <c r="V355">
        <f>HYPERLINK("https://klasma.github.io/Logging_2281/klagomål/A 47808-2019 FSC-klagomål.docx", "A 47808-2019")</f>
        <v/>
      </c>
      <c r="W355">
        <f>HYPERLINK("https://klasma.github.io/Logging_2281/klagomålsmail/A 47808-2019 FSC-klagomål mail.docx", "A 47808-2019")</f>
        <v/>
      </c>
      <c r="X355">
        <f>HYPERLINK("https://klasma.github.io/Logging_2281/tillsyn/A 47808-2019 tillsynsbegäran.docx", "A 47808-2019")</f>
        <v/>
      </c>
      <c r="Y355">
        <f>HYPERLINK("https://klasma.github.io/Logging_2281/tillsynsmail/A 47808-2019 tillsynsbegäran mail.docx", "A 47808-2019")</f>
        <v/>
      </c>
    </row>
    <row r="356" ht="15" customHeight="1">
      <c r="A356" t="inlineStr">
        <is>
          <t>A 66366-2019</t>
        </is>
      </c>
      <c r="B356" s="1" t="n">
        <v>43808</v>
      </c>
      <c r="C356" s="1" t="n">
        <v>45215</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 artfynd.xlsx", "A 66366-2019")</f>
        <v/>
      </c>
      <c r="T356">
        <f>HYPERLINK("https://klasma.github.io/Logging_2283/kartor/A 66366-2019 karta.png", "A 66366-2019")</f>
        <v/>
      </c>
      <c r="V356">
        <f>HYPERLINK("https://klasma.github.io/Logging_2283/klagomål/A 66366-2019 FSC-klagomål.docx", "A 66366-2019")</f>
        <v/>
      </c>
      <c r="W356">
        <f>HYPERLINK("https://klasma.github.io/Logging_2283/klagomålsmail/A 66366-2019 FSC-klagomål mail.docx", "A 66366-2019")</f>
        <v/>
      </c>
      <c r="X356">
        <f>HYPERLINK("https://klasma.github.io/Logging_2283/tillsyn/A 66366-2019 tillsynsbegäran.docx", "A 66366-2019")</f>
        <v/>
      </c>
      <c r="Y356">
        <f>HYPERLINK("https://klasma.github.io/Logging_2283/tillsynsmail/A 66366-2019 tillsynsbegäran mail.docx", "A 66366-2019")</f>
        <v/>
      </c>
    </row>
    <row r="357" ht="15" customHeight="1">
      <c r="A357" t="inlineStr">
        <is>
          <t>A 3610-2020</t>
        </is>
      </c>
      <c r="B357" s="1" t="n">
        <v>43853</v>
      </c>
      <c r="C357" s="1" t="n">
        <v>45215</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 artfynd.xlsx", "A 3610-2020")</f>
        <v/>
      </c>
      <c r="T357">
        <f>HYPERLINK("https://klasma.github.io/Logging_2282/kartor/A 3610-2020 karta.png", "A 3610-2020")</f>
        <v/>
      </c>
      <c r="V357">
        <f>HYPERLINK("https://klasma.github.io/Logging_2282/klagomål/A 3610-2020 FSC-klagomål.docx", "A 3610-2020")</f>
        <v/>
      </c>
      <c r="W357">
        <f>HYPERLINK("https://klasma.github.io/Logging_2282/klagomålsmail/A 3610-2020 FSC-klagomål mail.docx", "A 3610-2020")</f>
        <v/>
      </c>
      <c r="X357">
        <f>HYPERLINK("https://klasma.github.io/Logging_2282/tillsyn/A 3610-2020 tillsynsbegäran.docx", "A 3610-2020")</f>
        <v/>
      </c>
      <c r="Y357">
        <f>HYPERLINK("https://klasma.github.io/Logging_2282/tillsynsmail/A 3610-2020 tillsynsbegäran mail.docx", "A 3610-2020")</f>
        <v/>
      </c>
    </row>
    <row r="358" ht="15" customHeight="1">
      <c r="A358" t="inlineStr">
        <is>
          <t>A 3991-2020</t>
        </is>
      </c>
      <c r="B358" s="1" t="n">
        <v>43856</v>
      </c>
      <c r="C358" s="1" t="n">
        <v>45215</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 artfynd.xlsx", "A 3991-2020")</f>
        <v/>
      </c>
      <c r="T358">
        <f>HYPERLINK("https://klasma.github.io/Logging_2260/kartor/A 3991-2020 karta.png", "A 3991-2020")</f>
        <v/>
      </c>
      <c r="V358">
        <f>HYPERLINK("https://klasma.github.io/Logging_2260/klagomål/A 3991-2020 FSC-klagomål.docx", "A 3991-2020")</f>
        <v/>
      </c>
      <c r="W358">
        <f>HYPERLINK("https://klasma.github.io/Logging_2260/klagomålsmail/A 3991-2020 FSC-klagomål mail.docx", "A 3991-2020")</f>
        <v/>
      </c>
      <c r="X358">
        <f>HYPERLINK("https://klasma.github.io/Logging_2260/tillsyn/A 3991-2020 tillsynsbegäran.docx", "A 3991-2020")</f>
        <v/>
      </c>
      <c r="Y358">
        <f>HYPERLINK("https://klasma.github.io/Logging_2260/tillsynsmail/A 3991-2020 tillsynsbegäran mail.docx", "A 3991-2020")</f>
        <v/>
      </c>
    </row>
    <row r="359" ht="15" customHeight="1">
      <c r="A359" t="inlineStr">
        <is>
          <t>A 5314-2020</t>
        </is>
      </c>
      <c r="B359" s="1" t="n">
        <v>43857</v>
      </c>
      <c r="C359" s="1" t="n">
        <v>45215</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 artfynd.xlsx", "A 5314-2020")</f>
        <v/>
      </c>
      <c r="T359">
        <f>HYPERLINK("https://klasma.github.io/Logging_2283/kartor/A 5314-2020 karta.png", "A 5314-2020")</f>
        <v/>
      </c>
      <c r="V359">
        <f>HYPERLINK("https://klasma.github.io/Logging_2283/klagomål/A 5314-2020 FSC-klagomål.docx", "A 5314-2020")</f>
        <v/>
      </c>
      <c r="W359">
        <f>HYPERLINK("https://klasma.github.io/Logging_2283/klagomålsmail/A 5314-2020 FSC-klagomål mail.docx", "A 5314-2020")</f>
        <v/>
      </c>
      <c r="X359">
        <f>HYPERLINK("https://klasma.github.io/Logging_2283/tillsyn/A 5314-2020 tillsynsbegäran.docx", "A 5314-2020")</f>
        <v/>
      </c>
      <c r="Y359">
        <f>HYPERLINK("https://klasma.github.io/Logging_2283/tillsynsmail/A 5314-2020 tillsynsbegäran mail.docx", "A 5314-2020")</f>
        <v/>
      </c>
    </row>
    <row r="360" ht="15" customHeight="1">
      <c r="A360" t="inlineStr">
        <is>
          <t>A 29505-2020</t>
        </is>
      </c>
      <c r="B360" s="1" t="n">
        <v>44004</v>
      </c>
      <c r="C360" s="1" t="n">
        <v>45215</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 artfynd.xlsx", "A 29505-2020")</f>
        <v/>
      </c>
      <c r="T360">
        <f>HYPERLINK("https://klasma.github.io/Logging_2283/kartor/A 29505-2020 karta.png", "A 29505-2020")</f>
        <v/>
      </c>
      <c r="V360">
        <f>HYPERLINK("https://klasma.github.io/Logging_2283/klagomål/A 29505-2020 FSC-klagomål.docx", "A 29505-2020")</f>
        <v/>
      </c>
      <c r="W360">
        <f>HYPERLINK("https://klasma.github.io/Logging_2283/klagomålsmail/A 29505-2020 FSC-klagomål mail.docx", "A 29505-2020")</f>
        <v/>
      </c>
      <c r="X360">
        <f>HYPERLINK("https://klasma.github.io/Logging_2283/tillsyn/A 29505-2020 tillsynsbegäran.docx", "A 29505-2020")</f>
        <v/>
      </c>
      <c r="Y360">
        <f>HYPERLINK("https://klasma.github.io/Logging_2283/tillsynsmail/A 29505-2020 tillsynsbegäran mail.docx", "A 29505-2020")</f>
        <v/>
      </c>
    </row>
    <row r="361" ht="15" customHeight="1">
      <c r="A361" t="inlineStr">
        <is>
          <t>A 34085-2020</t>
        </is>
      </c>
      <c r="B361" s="1" t="n">
        <v>44028</v>
      </c>
      <c r="C361" s="1" t="n">
        <v>45215</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 artfynd.xlsx", "A 34085-2020")</f>
        <v/>
      </c>
      <c r="T361">
        <f>HYPERLINK("https://klasma.github.io/Logging_2283/kartor/A 34085-2020 karta.png", "A 34085-2020")</f>
        <v/>
      </c>
      <c r="U361">
        <f>HYPERLINK("https://klasma.github.io/Logging_2283/knärot/A 34085-2020 karta knärot.png", "A 34085-2020")</f>
        <v/>
      </c>
      <c r="V361">
        <f>HYPERLINK("https://klasma.github.io/Logging_2283/klagomål/A 34085-2020 FSC-klagomål.docx", "A 34085-2020")</f>
        <v/>
      </c>
      <c r="W361">
        <f>HYPERLINK("https://klasma.github.io/Logging_2283/klagomålsmail/A 34085-2020 FSC-klagomål mail.docx", "A 34085-2020")</f>
        <v/>
      </c>
      <c r="X361">
        <f>HYPERLINK("https://klasma.github.io/Logging_2283/tillsyn/A 34085-2020 tillsynsbegäran.docx", "A 34085-2020")</f>
        <v/>
      </c>
      <c r="Y361">
        <f>HYPERLINK("https://klasma.github.io/Logging_2283/tillsynsmail/A 34085-2020 tillsynsbegäran mail.docx", "A 34085-2020")</f>
        <v/>
      </c>
    </row>
    <row r="362" ht="15" customHeight="1">
      <c r="A362" t="inlineStr">
        <is>
          <t>A 39080-2020</t>
        </is>
      </c>
      <c r="B362" s="1" t="n">
        <v>44062</v>
      </c>
      <c r="C362" s="1" t="n">
        <v>45215</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 artfynd.xlsx", "A 39080-2020")</f>
        <v/>
      </c>
      <c r="T362">
        <f>HYPERLINK("https://klasma.github.io/Logging_2281/kartor/A 39080-2020 karta.png", "A 39080-2020")</f>
        <v/>
      </c>
      <c r="V362">
        <f>HYPERLINK("https://klasma.github.io/Logging_2281/klagomål/A 39080-2020 FSC-klagomål.docx", "A 39080-2020")</f>
        <v/>
      </c>
      <c r="W362">
        <f>HYPERLINK("https://klasma.github.io/Logging_2281/klagomålsmail/A 39080-2020 FSC-klagomål mail.docx", "A 39080-2020")</f>
        <v/>
      </c>
      <c r="X362">
        <f>HYPERLINK("https://klasma.github.io/Logging_2281/tillsyn/A 39080-2020 tillsynsbegäran.docx", "A 39080-2020")</f>
        <v/>
      </c>
      <c r="Y362">
        <f>HYPERLINK("https://klasma.github.io/Logging_2281/tillsynsmail/A 39080-2020 tillsynsbegäran mail.docx", "A 39080-2020")</f>
        <v/>
      </c>
    </row>
    <row r="363" ht="15" customHeight="1">
      <c r="A363" t="inlineStr">
        <is>
          <t>A 46130-2020</t>
        </is>
      </c>
      <c r="B363" s="1" t="n">
        <v>44091</v>
      </c>
      <c r="C363" s="1" t="n">
        <v>45215</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 artfynd.xlsx", "A 46130-2020")</f>
        <v/>
      </c>
      <c r="T363">
        <f>HYPERLINK("https://klasma.github.io/Logging_2260/kartor/A 46130-2020 karta.png", "A 46130-2020")</f>
        <v/>
      </c>
      <c r="V363">
        <f>HYPERLINK("https://klasma.github.io/Logging_2260/klagomål/A 46130-2020 FSC-klagomål.docx", "A 46130-2020")</f>
        <v/>
      </c>
      <c r="W363">
        <f>HYPERLINK("https://klasma.github.io/Logging_2260/klagomålsmail/A 46130-2020 FSC-klagomål mail.docx", "A 46130-2020")</f>
        <v/>
      </c>
      <c r="X363">
        <f>HYPERLINK("https://klasma.github.io/Logging_2260/tillsyn/A 46130-2020 tillsynsbegäran.docx", "A 46130-2020")</f>
        <v/>
      </c>
      <c r="Y363">
        <f>HYPERLINK("https://klasma.github.io/Logging_2260/tillsynsmail/A 46130-2020 tillsynsbegäran mail.docx", "A 46130-2020")</f>
        <v/>
      </c>
    </row>
    <row r="364" ht="15" customHeight="1">
      <c r="A364" t="inlineStr">
        <is>
          <t>A 50336-2020</t>
        </is>
      </c>
      <c r="B364" s="1" t="n">
        <v>44110</v>
      </c>
      <c r="C364" s="1" t="n">
        <v>45215</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 artfynd.xlsx", "A 50336-2020")</f>
        <v/>
      </c>
      <c r="T364">
        <f>HYPERLINK("https://klasma.github.io/Logging_2281/kartor/A 50336-2020 karta.png", "A 50336-2020")</f>
        <v/>
      </c>
      <c r="V364">
        <f>HYPERLINK("https://klasma.github.io/Logging_2281/klagomål/A 50336-2020 FSC-klagomål.docx", "A 50336-2020")</f>
        <v/>
      </c>
      <c r="W364">
        <f>HYPERLINK("https://klasma.github.io/Logging_2281/klagomålsmail/A 50336-2020 FSC-klagomål mail.docx", "A 50336-2020")</f>
        <v/>
      </c>
      <c r="X364">
        <f>HYPERLINK("https://klasma.github.io/Logging_2281/tillsyn/A 50336-2020 tillsynsbegäran.docx", "A 50336-2020")</f>
        <v/>
      </c>
      <c r="Y364">
        <f>HYPERLINK("https://klasma.github.io/Logging_2281/tillsynsmail/A 50336-2020 tillsynsbegäran mail.docx", "A 50336-2020")</f>
        <v/>
      </c>
    </row>
    <row r="365" ht="15" customHeight="1">
      <c r="A365" t="inlineStr">
        <is>
          <t>A 51694-2020</t>
        </is>
      </c>
      <c r="B365" s="1" t="n">
        <v>44113</v>
      </c>
      <c r="C365" s="1" t="n">
        <v>45215</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 artfynd.xlsx", "A 51694-2020")</f>
        <v/>
      </c>
      <c r="T365">
        <f>HYPERLINK("https://klasma.github.io/Logging_2260/kartor/A 51694-2020 karta.png", "A 51694-2020")</f>
        <v/>
      </c>
      <c r="V365">
        <f>HYPERLINK("https://klasma.github.io/Logging_2260/klagomål/A 51694-2020 FSC-klagomål.docx", "A 51694-2020")</f>
        <v/>
      </c>
      <c r="W365">
        <f>HYPERLINK("https://klasma.github.io/Logging_2260/klagomålsmail/A 51694-2020 FSC-klagomål mail.docx", "A 51694-2020")</f>
        <v/>
      </c>
      <c r="X365">
        <f>HYPERLINK("https://klasma.github.io/Logging_2260/tillsyn/A 51694-2020 tillsynsbegäran.docx", "A 51694-2020")</f>
        <v/>
      </c>
      <c r="Y365">
        <f>HYPERLINK("https://klasma.github.io/Logging_2260/tillsynsmail/A 51694-2020 tillsynsbegäran mail.docx", "A 51694-2020")</f>
        <v/>
      </c>
    </row>
    <row r="366" ht="15" customHeight="1">
      <c r="A366" t="inlineStr">
        <is>
          <t>A 57370-2020</t>
        </is>
      </c>
      <c r="B366" s="1" t="n">
        <v>44139</v>
      </c>
      <c r="C366" s="1" t="n">
        <v>45215</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 artfynd.xlsx", "A 57370-2020")</f>
        <v/>
      </c>
      <c r="T366">
        <f>HYPERLINK("https://klasma.github.io/Logging_2280/kartor/A 57370-2020 karta.png", "A 57370-2020")</f>
        <v/>
      </c>
      <c r="V366">
        <f>HYPERLINK("https://klasma.github.io/Logging_2280/klagomål/A 57370-2020 FSC-klagomål.docx", "A 57370-2020")</f>
        <v/>
      </c>
      <c r="W366">
        <f>HYPERLINK("https://klasma.github.io/Logging_2280/klagomålsmail/A 57370-2020 FSC-klagomål mail.docx", "A 57370-2020")</f>
        <v/>
      </c>
      <c r="X366">
        <f>HYPERLINK("https://klasma.github.io/Logging_2280/tillsyn/A 57370-2020 tillsynsbegäran.docx", "A 57370-2020")</f>
        <v/>
      </c>
      <c r="Y366">
        <f>HYPERLINK("https://klasma.github.io/Logging_2280/tillsynsmail/A 57370-2020 tillsynsbegäran mail.docx", "A 57370-2020")</f>
        <v/>
      </c>
    </row>
    <row r="367" ht="15" customHeight="1">
      <c r="A367" t="inlineStr">
        <is>
          <t>A 58902-2020</t>
        </is>
      </c>
      <c r="B367" s="1" t="n">
        <v>44146</v>
      </c>
      <c r="C367" s="1" t="n">
        <v>45215</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 artfynd.xlsx", "A 58902-2020")</f>
        <v/>
      </c>
      <c r="T367">
        <f>HYPERLINK("https://klasma.github.io/Logging_2260/kartor/A 58902-2020 karta.png", "A 58902-2020")</f>
        <v/>
      </c>
      <c r="V367">
        <f>HYPERLINK("https://klasma.github.io/Logging_2260/klagomål/A 58902-2020 FSC-klagomål.docx", "A 58902-2020")</f>
        <v/>
      </c>
      <c r="W367">
        <f>HYPERLINK("https://klasma.github.io/Logging_2260/klagomålsmail/A 58902-2020 FSC-klagomål mail.docx", "A 58902-2020")</f>
        <v/>
      </c>
      <c r="X367">
        <f>HYPERLINK("https://klasma.github.io/Logging_2260/tillsyn/A 58902-2020 tillsynsbegäran.docx", "A 58902-2020")</f>
        <v/>
      </c>
      <c r="Y367">
        <f>HYPERLINK("https://klasma.github.io/Logging_2260/tillsynsmail/A 58902-2020 tillsynsbegäran mail.docx", "A 58902-2020")</f>
        <v/>
      </c>
    </row>
    <row r="368" ht="15" customHeight="1">
      <c r="A368" t="inlineStr">
        <is>
          <t>A 60042-2020</t>
        </is>
      </c>
      <c r="B368" s="1" t="n">
        <v>44151</v>
      </c>
      <c r="C368" s="1" t="n">
        <v>45215</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 artfynd.xlsx", "A 60042-2020")</f>
        <v/>
      </c>
      <c r="T368">
        <f>HYPERLINK("https://klasma.github.io/Logging_2284/kartor/A 60042-2020 karta.png", "A 60042-2020")</f>
        <v/>
      </c>
      <c r="V368">
        <f>HYPERLINK("https://klasma.github.io/Logging_2284/klagomål/A 60042-2020 FSC-klagomål.docx", "A 60042-2020")</f>
        <v/>
      </c>
      <c r="W368">
        <f>HYPERLINK("https://klasma.github.io/Logging_2284/klagomålsmail/A 60042-2020 FSC-klagomål mail.docx", "A 60042-2020")</f>
        <v/>
      </c>
      <c r="X368">
        <f>HYPERLINK("https://klasma.github.io/Logging_2284/tillsyn/A 60042-2020 tillsynsbegäran.docx", "A 60042-2020")</f>
        <v/>
      </c>
      <c r="Y368">
        <f>HYPERLINK("https://klasma.github.io/Logging_2284/tillsynsmail/A 60042-2020 tillsynsbegäran mail.docx", "A 60042-2020")</f>
        <v/>
      </c>
    </row>
    <row r="369" ht="15" customHeight="1">
      <c r="A369" t="inlineStr">
        <is>
          <t>A 60400-2020</t>
        </is>
      </c>
      <c r="B369" s="1" t="n">
        <v>44152</v>
      </c>
      <c r="C369" s="1" t="n">
        <v>45215</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 artfynd.xlsx", "A 60400-2020")</f>
        <v/>
      </c>
      <c r="T369">
        <f>HYPERLINK("https://klasma.github.io/Logging_2281/kartor/A 60400-2020 karta.png", "A 60400-2020")</f>
        <v/>
      </c>
      <c r="V369">
        <f>HYPERLINK("https://klasma.github.io/Logging_2281/klagomål/A 60400-2020 FSC-klagomål.docx", "A 60400-2020")</f>
        <v/>
      </c>
      <c r="W369">
        <f>HYPERLINK("https://klasma.github.io/Logging_2281/klagomålsmail/A 60400-2020 FSC-klagomål mail.docx", "A 60400-2020")</f>
        <v/>
      </c>
      <c r="X369">
        <f>HYPERLINK("https://klasma.github.io/Logging_2281/tillsyn/A 60400-2020 tillsynsbegäran.docx", "A 60400-2020")</f>
        <v/>
      </c>
      <c r="Y369">
        <f>HYPERLINK("https://klasma.github.io/Logging_2281/tillsynsmail/A 60400-2020 tillsynsbegäran mail.docx", "A 60400-2020")</f>
        <v/>
      </c>
    </row>
    <row r="370" ht="15" customHeight="1">
      <c r="A370" t="inlineStr">
        <is>
          <t>A 716-2021</t>
        </is>
      </c>
      <c r="B370" s="1" t="n">
        <v>44204</v>
      </c>
      <c r="C370" s="1" t="n">
        <v>45215</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 artfynd.xlsx", "A 716-2021")</f>
        <v/>
      </c>
      <c r="T370">
        <f>HYPERLINK("https://klasma.github.io/Logging_2282/kartor/A 716-2021 karta.png", "A 716-2021")</f>
        <v/>
      </c>
      <c r="V370">
        <f>HYPERLINK("https://klasma.github.io/Logging_2282/klagomål/A 716-2021 FSC-klagomål.docx", "A 716-2021")</f>
        <v/>
      </c>
      <c r="W370">
        <f>HYPERLINK("https://klasma.github.io/Logging_2282/klagomålsmail/A 716-2021 FSC-klagomål mail.docx", "A 716-2021")</f>
        <v/>
      </c>
      <c r="X370">
        <f>HYPERLINK("https://klasma.github.io/Logging_2282/tillsyn/A 716-2021 tillsynsbegäran.docx", "A 716-2021")</f>
        <v/>
      </c>
      <c r="Y370">
        <f>HYPERLINK("https://klasma.github.io/Logging_2282/tillsynsmail/A 716-2021 tillsynsbegäran mail.docx", "A 716-2021")</f>
        <v/>
      </c>
    </row>
    <row r="371" ht="15" customHeight="1">
      <c r="A371" t="inlineStr">
        <is>
          <t>A 2309-2021</t>
        </is>
      </c>
      <c r="B371" s="1" t="n">
        <v>44213</v>
      </c>
      <c r="C371" s="1" t="n">
        <v>45215</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 artfynd.xlsx", "A 2309-2021")</f>
        <v/>
      </c>
      <c r="T371">
        <f>HYPERLINK("https://klasma.github.io/Logging_2283/kartor/A 2309-2021 karta.png", "A 2309-2021")</f>
        <v/>
      </c>
      <c r="V371">
        <f>HYPERLINK("https://klasma.github.io/Logging_2283/klagomål/A 2309-2021 FSC-klagomål.docx", "A 2309-2021")</f>
        <v/>
      </c>
      <c r="W371">
        <f>HYPERLINK("https://klasma.github.io/Logging_2283/klagomålsmail/A 2309-2021 FSC-klagomål mail.docx", "A 2309-2021")</f>
        <v/>
      </c>
      <c r="X371">
        <f>HYPERLINK("https://klasma.github.io/Logging_2283/tillsyn/A 2309-2021 tillsynsbegäran.docx", "A 2309-2021")</f>
        <v/>
      </c>
      <c r="Y371">
        <f>HYPERLINK("https://klasma.github.io/Logging_2283/tillsynsmail/A 2309-2021 tillsynsbegäran mail.docx", "A 2309-2021")</f>
        <v/>
      </c>
    </row>
    <row r="372" ht="15" customHeight="1">
      <c r="A372" t="inlineStr">
        <is>
          <t>A 7567-2021</t>
        </is>
      </c>
      <c r="B372" s="1" t="n">
        <v>44239</v>
      </c>
      <c r="C372" s="1" t="n">
        <v>45215</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 artfynd.xlsx", "A 7567-2021")</f>
        <v/>
      </c>
      <c r="T372">
        <f>HYPERLINK("https://klasma.github.io/Logging_2281/kartor/A 7567-2021 karta.png", "A 7567-2021")</f>
        <v/>
      </c>
      <c r="V372">
        <f>HYPERLINK("https://klasma.github.io/Logging_2281/klagomål/A 7567-2021 FSC-klagomål.docx", "A 7567-2021")</f>
        <v/>
      </c>
      <c r="W372">
        <f>HYPERLINK("https://klasma.github.io/Logging_2281/klagomålsmail/A 7567-2021 FSC-klagomål mail.docx", "A 7567-2021")</f>
        <v/>
      </c>
      <c r="X372">
        <f>HYPERLINK("https://klasma.github.io/Logging_2281/tillsyn/A 7567-2021 tillsynsbegäran.docx", "A 7567-2021")</f>
        <v/>
      </c>
      <c r="Y372">
        <f>HYPERLINK("https://klasma.github.io/Logging_2281/tillsynsmail/A 7567-2021 tillsynsbegäran mail.docx", "A 7567-2021")</f>
        <v/>
      </c>
    </row>
    <row r="373" ht="15" customHeight="1">
      <c r="A373" t="inlineStr">
        <is>
          <t>A 17601-2021</t>
        </is>
      </c>
      <c r="B373" s="1" t="n">
        <v>44299</v>
      </c>
      <c r="C373" s="1" t="n">
        <v>45215</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 artfynd.xlsx", "A 17601-2021")</f>
        <v/>
      </c>
      <c r="T373">
        <f>HYPERLINK("https://klasma.github.io/Logging_2282/kartor/A 17601-2021 karta.png", "A 17601-2021")</f>
        <v/>
      </c>
      <c r="V373">
        <f>HYPERLINK("https://klasma.github.io/Logging_2282/klagomål/A 17601-2021 FSC-klagomål.docx", "A 17601-2021")</f>
        <v/>
      </c>
      <c r="W373">
        <f>HYPERLINK("https://klasma.github.io/Logging_2282/klagomålsmail/A 17601-2021 FSC-klagomål mail.docx", "A 17601-2021")</f>
        <v/>
      </c>
      <c r="X373">
        <f>HYPERLINK("https://klasma.github.io/Logging_2282/tillsyn/A 17601-2021 tillsynsbegäran.docx", "A 17601-2021")</f>
        <v/>
      </c>
      <c r="Y373">
        <f>HYPERLINK("https://klasma.github.io/Logging_2282/tillsynsmail/A 17601-2021 tillsynsbegäran mail.docx", "A 17601-2021")</f>
        <v/>
      </c>
    </row>
    <row r="374" ht="15" customHeight="1">
      <c r="A374" t="inlineStr">
        <is>
          <t>A 18510-2021</t>
        </is>
      </c>
      <c r="B374" s="1" t="n">
        <v>44306</v>
      </c>
      <c r="C374" s="1" t="n">
        <v>45215</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 artfynd.xlsx", "A 18510-2021")</f>
        <v/>
      </c>
      <c r="T374">
        <f>HYPERLINK("https://klasma.github.io/Logging_2262/kartor/A 18510-2021 karta.png", "A 18510-2021")</f>
        <v/>
      </c>
      <c r="V374">
        <f>HYPERLINK("https://klasma.github.io/Logging_2262/klagomål/A 18510-2021 FSC-klagomål.docx", "A 18510-2021")</f>
        <v/>
      </c>
      <c r="W374">
        <f>HYPERLINK("https://klasma.github.io/Logging_2262/klagomålsmail/A 18510-2021 FSC-klagomål mail.docx", "A 18510-2021")</f>
        <v/>
      </c>
      <c r="X374">
        <f>HYPERLINK("https://klasma.github.io/Logging_2262/tillsyn/A 18510-2021 tillsynsbegäran.docx", "A 18510-2021")</f>
        <v/>
      </c>
      <c r="Y374">
        <f>HYPERLINK("https://klasma.github.io/Logging_2262/tillsynsmail/A 18510-2021 tillsynsbegäran mail.docx", "A 18510-2021")</f>
        <v/>
      </c>
    </row>
    <row r="375" ht="15" customHeight="1">
      <c r="A375" t="inlineStr">
        <is>
          <t>A 20836-2021</t>
        </is>
      </c>
      <c r="B375" s="1" t="n">
        <v>44318</v>
      </c>
      <c r="C375" s="1" t="n">
        <v>45215</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 artfynd.xlsx", "A 20836-2021")</f>
        <v/>
      </c>
      <c r="T375">
        <f>HYPERLINK("https://klasma.github.io/Logging_2283/kartor/A 20836-2021 karta.png", "A 20836-2021")</f>
        <v/>
      </c>
      <c r="V375">
        <f>HYPERLINK("https://klasma.github.io/Logging_2283/klagomål/A 20836-2021 FSC-klagomål.docx", "A 20836-2021")</f>
        <v/>
      </c>
      <c r="W375">
        <f>HYPERLINK("https://klasma.github.io/Logging_2283/klagomålsmail/A 20836-2021 FSC-klagomål mail.docx", "A 20836-2021")</f>
        <v/>
      </c>
      <c r="X375">
        <f>HYPERLINK("https://klasma.github.io/Logging_2283/tillsyn/A 20836-2021 tillsynsbegäran.docx", "A 20836-2021")</f>
        <v/>
      </c>
      <c r="Y375">
        <f>HYPERLINK("https://klasma.github.io/Logging_2283/tillsynsmail/A 20836-2021 tillsynsbegäran mail.docx", "A 20836-2021")</f>
        <v/>
      </c>
    </row>
    <row r="376" ht="15" customHeight="1">
      <c r="A376" t="inlineStr">
        <is>
          <t>A 27983-2021</t>
        </is>
      </c>
      <c r="B376" s="1" t="n">
        <v>44354</v>
      </c>
      <c r="C376" s="1" t="n">
        <v>45215</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 artfynd.xlsx", "A 27983-2021")</f>
        <v/>
      </c>
      <c r="T376">
        <f>HYPERLINK("https://klasma.github.io/Logging_2283/kartor/A 27983-2021 karta.png", "A 27983-2021")</f>
        <v/>
      </c>
      <c r="V376">
        <f>HYPERLINK("https://klasma.github.io/Logging_2283/klagomål/A 27983-2021 FSC-klagomål.docx", "A 27983-2021")</f>
        <v/>
      </c>
      <c r="W376">
        <f>HYPERLINK("https://klasma.github.io/Logging_2283/klagomålsmail/A 27983-2021 FSC-klagomål mail.docx", "A 27983-2021")</f>
        <v/>
      </c>
      <c r="X376">
        <f>HYPERLINK("https://klasma.github.io/Logging_2283/tillsyn/A 27983-2021 tillsynsbegäran.docx", "A 27983-2021")</f>
        <v/>
      </c>
      <c r="Y376">
        <f>HYPERLINK("https://klasma.github.io/Logging_2283/tillsynsmail/A 27983-2021 tillsynsbegäran mail.docx", "A 27983-2021")</f>
        <v/>
      </c>
    </row>
    <row r="377" ht="15" customHeight="1">
      <c r="A377" t="inlineStr">
        <is>
          <t>A 36635-2021</t>
        </is>
      </c>
      <c r="B377" s="1" t="n">
        <v>44391</v>
      </c>
      <c r="C377" s="1" t="n">
        <v>45215</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 artfynd.xlsx", "A 36635-2021")</f>
        <v/>
      </c>
      <c r="T377">
        <f>HYPERLINK("https://klasma.github.io/Logging_2260/kartor/A 36635-2021 karta.png", "A 36635-2021")</f>
        <v/>
      </c>
      <c r="U377">
        <f>HYPERLINK("https://klasma.github.io/Logging_2260/knärot/A 36635-2021 karta knärot.png", "A 36635-2021")</f>
        <v/>
      </c>
      <c r="V377">
        <f>HYPERLINK("https://klasma.github.io/Logging_2260/klagomål/A 36635-2021 FSC-klagomål.docx", "A 36635-2021")</f>
        <v/>
      </c>
      <c r="W377">
        <f>HYPERLINK("https://klasma.github.io/Logging_2260/klagomålsmail/A 36635-2021 FSC-klagomål mail.docx", "A 36635-2021")</f>
        <v/>
      </c>
      <c r="X377">
        <f>HYPERLINK("https://klasma.github.io/Logging_2260/tillsyn/A 36635-2021 tillsynsbegäran.docx", "A 36635-2021")</f>
        <v/>
      </c>
      <c r="Y377">
        <f>HYPERLINK("https://klasma.github.io/Logging_2260/tillsynsmail/A 36635-2021 tillsynsbegäran mail.docx", "A 36635-2021")</f>
        <v/>
      </c>
    </row>
    <row r="378" ht="15" customHeight="1">
      <c r="A378" t="inlineStr">
        <is>
          <t>A 43196-2021</t>
        </is>
      </c>
      <c r="B378" s="1" t="n">
        <v>44431</v>
      </c>
      <c r="C378" s="1" t="n">
        <v>45215</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 artfynd.xlsx", "A 43196-2021")</f>
        <v/>
      </c>
      <c r="T378">
        <f>HYPERLINK("https://klasma.github.io/Logging_2281/kartor/A 43196-2021 karta.png", "A 43196-2021")</f>
        <v/>
      </c>
      <c r="V378">
        <f>HYPERLINK("https://klasma.github.io/Logging_2281/klagomål/A 43196-2021 FSC-klagomål.docx", "A 43196-2021")</f>
        <v/>
      </c>
      <c r="W378">
        <f>HYPERLINK("https://klasma.github.io/Logging_2281/klagomålsmail/A 43196-2021 FSC-klagomål mail.docx", "A 43196-2021")</f>
        <v/>
      </c>
      <c r="X378">
        <f>HYPERLINK("https://klasma.github.io/Logging_2281/tillsyn/A 43196-2021 tillsynsbegäran.docx", "A 43196-2021")</f>
        <v/>
      </c>
      <c r="Y378">
        <f>HYPERLINK("https://klasma.github.io/Logging_2281/tillsynsmail/A 43196-2021 tillsynsbegäran mail.docx", "A 43196-2021")</f>
        <v/>
      </c>
    </row>
    <row r="379" ht="15" customHeight="1">
      <c r="A379" t="inlineStr">
        <is>
          <t>A 54153-2021</t>
        </is>
      </c>
      <c r="B379" s="1" t="n">
        <v>44469</v>
      </c>
      <c r="C379" s="1" t="n">
        <v>45215</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 artfynd.xlsx", "A 54153-2021")</f>
        <v/>
      </c>
      <c r="T379">
        <f>HYPERLINK("https://klasma.github.io/Logging_2283/kartor/A 54153-2021 karta.png", "A 54153-2021")</f>
        <v/>
      </c>
      <c r="V379">
        <f>HYPERLINK("https://klasma.github.io/Logging_2283/klagomål/A 54153-2021 FSC-klagomål.docx", "A 54153-2021")</f>
        <v/>
      </c>
      <c r="W379">
        <f>HYPERLINK("https://klasma.github.io/Logging_2283/klagomålsmail/A 54153-2021 FSC-klagomål mail.docx", "A 54153-2021")</f>
        <v/>
      </c>
      <c r="X379">
        <f>HYPERLINK("https://klasma.github.io/Logging_2283/tillsyn/A 54153-2021 tillsynsbegäran.docx", "A 54153-2021")</f>
        <v/>
      </c>
      <c r="Y379">
        <f>HYPERLINK("https://klasma.github.io/Logging_2283/tillsynsmail/A 54153-2021 tillsynsbegäran mail.docx", "A 54153-2021")</f>
        <v/>
      </c>
    </row>
    <row r="380" ht="15" customHeight="1">
      <c r="A380" t="inlineStr">
        <is>
          <t>A 55591-2021</t>
        </is>
      </c>
      <c r="B380" s="1" t="n">
        <v>44475</v>
      </c>
      <c r="C380" s="1" t="n">
        <v>45215</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 artfynd.xlsx", "A 55591-2021")</f>
        <v/>
      </c>
      <c r="T380">
        <f>HYPERLINK("https://klasma.github.io/Logging_2260/kartor/A 55591-2021 karta.png", "A 55591-2021")</f>
        <v/>
      </c>
      <c r="V380">
        <f>HYPERLINK("https://klasma.github.io/Logging_2260/klagomål/A 55591-2021 FSC-klagomål.docx", "A 55591-2021")</f>
        <v/>
      </c>
      <c r="W380">
        <f>HYPERLINK("https://klasma.github.io/Logging_2260/klagomålsmail/A 55591-2021 FSC-klagomål mail.docx", "A 55591-2021")</f>
        <v/>
      </c>
      <c r="X380">
        <f>HYPERLINK("https://klasma.github.io/Logging_2260/tillsyn/A 55591-2021 tillsynsbegäran.docx", "A 55591-2021")</f>
        <v/>
      </c>
      <c r="Y380">
        <f>HYPERLINK("https://klasma.github.io/Logging_2260/tillsynsmail/A 55591-2021 tillsynsbegäran mail.docx", "A 55591-2021")</f>
        <v/>
      </c>
    </row>
    <row r="381" ht="15" customHeight="1">
      <c r="A381" t="inlineStr">
        <is>
          <t>A 61472-2021</t>
        </is>
      </c>
      <c r="B381" s="1" t="n">
        <v>44500</v>
      </c>
      <c r="C381" s="1" t="n">
        <v>45215</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 artfynd.xlsx", "A 61472-2021")</f>
        <v/>
      </c>
      <c r="T381">
        <f>HYPERLINK("https://klasma.github.io/Logging_2260/kartor/A 61472-2021 karta.png", "A 61472-2021")</f>
        <v/>
      </c>
      <c r="V381">
        <f>HYPERLINK("https://klasma.github.io/Logging_2260/klagomål/A 61472-2021 FSC-klagomål.docx", "A 61472-2021")</f>
        <v/>
      </c>
      <c r="W381">
        <f>HYPERLINK("https://klasma.github.io/Logging_2260/klagomålsmail/A 61472-2021 FSC-klagomål mail.docx", "A 61472-2021")</f>
        <v/>
      </c>
      <c r="X381">
        <f>HYPERLINK("https://klasma.github.io/Logging_2260/tillsyn/A 61472-2021 tillsynsbegäran.docx", "A 61472-2021")</f>
        <v/>
      </c>
      <c r="Y381">
        <f>HYPERLINK("https://klasma.github.io/Logging_2260/tillsynsmail/A 61472-2021 tillsynsbegäran mail.docx", "A 61472-2021")</f>
        <v/>
      </c>
    </row>
    <row r="382" ht="15" customHeight="1">
      <c r="A382" t="inlineStr">
        <is>
          <t>A 62861-2021</t>
        </is>
      </c>
      <c r="B382" s="1" t="n">
        <v>44503</v>
      </c>
      <c r="C382" s="1" t="n">
        <v>45215</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 artfynd.xlsx", "A 62861-2021")</f>
        <v/>
      </c>
      <c r="T382">
        <f>HYPERLINK("https://klasma.github.io/Logging_2260/kartor/A 62861-2021 karta.png", "A 62861-2021")</f>
        <v/>
      </c>
      <c r="U382">
        <f>HYPERLINK("https://klasma.github.io/Logging_2260/knärot/A 62861-2021 karta knärot.png", "A 62861-2021")</f>
        <v/>
      </c>
      <c r="V382">
        <f>HYPERLINK("https://klasma.github.io/Logging_2260/klagomål/A 62861-2021 FSC-klagomål.docx", "A 62861-2021")</f>
        <v/>
      </c>
      <c r="W382">
        <f>HYPERLINK("https://klasma.github.io/Logging_2260/klagomålsmail/A 62861-2021 FSC-klagomål mail.docx", "A 62861-2021")</f>
        <v/>
      </c>
      <c r="X382">
        <f>HYPERLINK("https://klasma.github.io/Logging_2260/tillsyn/A 62861-2021 tillsynsbegäran.docx", "A 62861-2021")</f>
        <v/>
      </c>
      <c r="Y382">
        <f>HYPERLINK("https://klasma.github.io/Logging_2260/tillsynsmail/A 62861-2021 tillsynsbegäran mail.docx", "A 62861-2021")</f>
        <v/>
      </c>
    </row>
    <row r="383" ht="15" customHeight="1">
      <c r="A383" t="inlineStr">
        <is>
          <t>A 64919-2021</t>
        </is>
      </c>
      <c r="B383" s="1" t="n">
        <v>44512</v>
      </c>
      <c r="C383" s="1" t="n">
        <v>45215</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 artfynd.xlsx", "A 64919-2021")</f>
        <v/>
      </c>
      <c r="T383">
        <f>HYPERLINK("https://klasma.github.io/Logging_2281/kartor/A 64919-2021 karta.png", "A 64919-2021")</f>
        <v/>
      </c>
      <c r="V383">
        <f>HYPERLINK("https://klasma.github.io/Logging_2281/klagomål/A 64919-2021 FSC-klagomål.docx", "A 64919-2021")</f>
        <v/>
      </c>
      <c r="W383">
        <f>HYPERLINK("https://klasma.github.io/Logging_2281/klagomålsmail/A 64919-2021 FSC-klagomål mail.docx", "A 64919-2021")</f>
        <v/>
      </c>
      <c r="X383">
        <f>HYPERLINK("https://klasma.github.io/Logging_2281/tillsyn/A 64919-2021 tillsynsbegäran.docx", "A 64919-2021")</f>
        <v/>
      </c>
      <c r="Y383">
        <f>HYPERLINK("https://klasma.github.io/Logging_2281/tillsynsmail/A 64919-2021 tillsynsbegäran mail.docx", "A 64919-2021")</f>
        <v/>
      </c>
    </row>
    <row r="384" ht="15" customHeight="1">
      <c r="A384" t="inlineStr">
        <is>
          <t>A 1082-2022</t>
        </is>
      </c>
      <c r="B384" s="1" t="n">
        <v>44571</v>
      </c>
      <c r="C384" s="1" t="n">
        <v>45215</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 artfynd.xlsx", "A 1082-2022")</f>
        <v/>
      </c>
      <c r="T384">
        <f>HYPERLINK("https://klasma.github.io/Logging_2260/kartor/A 1082-2022 karta.png", "A 1082-2022")</f>
        <v/>
      </c>
      <c r="V384">
        <f>HYPERLINK("https://klasma.github.io/Logging_2260/klagomål/A 1082-2022 FSC-klagomål.docx", "A 1082-2022")</f>
        <v/>
      </c>
      <c r="W384">
        <f>HYPERLINK("https://klasma.github.io/Logging_2260/klagomålsmail/A 1082-2022 FSC-klagomål mail.docx", "A 1082-2022")</f>
        <v/>
      </c>
      <c r="X384">
        <f>HYPERLINK("https://klasma.github.io/Logging_2260/tillsyn/A 1082-2022 tillsynsbegäran.docx", "A 1082-2022")</f>
        <v/>
      </c>
      <c r="Y384">
        <f>HYPERLINK("https://klasma.github.io/Logging_2260/tillsynsmail/A 1082-2022 tillsynsbegäran mail.docx", "A 1082-2022")</f>
        <v/>
      </c>
    </row>
    <row r="385" ht="15" customHeight="1">
      <c r="A385" t="inlineStr">
        <is>
          <t>A 5115-2022</t>
        </is>
      </c>
      <c r="B385" s="1" t="n">
        <v>44593</v>
      </c>
      <c r="C385" s="1" t="n">
        <v>45215</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 artfynd.xlsx", "A 5115-2022")</f>
        <v/>
      </c>
      <c r="T385">
        <f>HYPERLINK("https://klasma.github.io/Logging_2281/kartor/A 5115-2022 karta.png", "A 5115-2022")</f>
        <v/>
      </c>
      <c r="V385">
        <f>HYPERLINK("https://klasma.github.io/Logging_2281/klagomål/A 5115-2022 FSC-klagomål.docx", "A 5115-2022")</f>
        <v/>
      </c>
      <c r="W385">
        <f>HYPERLINK("https://klasma.github.io/Logging_2281/klagomålsmail/A 5115-2022 FSC-klagomål mail.docx", "A 5115-2022")</f>
        <v/>
      </c>
      <c r="X385">
        <f>HYPERLINK("https://klasma.github.io/Logging_2281/tillsyn/A 5115-2022 tillsynsbegäran.docx", "A 5115-2022")</f>
        <v/>
      </c>
      <c r="Y385">
        <f>HYPERLINK("https://klasma.github.io/Logging_2281/tillsynsmail/A 5115-2022 tillsynsbegäran mail.docx", "A 5115-2022")</f>
        <v/>
      </c>
    </row>
    <row r="386" ht="15" customHeight="1">
      <c r="A386" t="inlineStr">
        <is>
          <t>A 8234-2022</t>
        </is>
      </c>
      <c r="B386" s="1" t="n">
        <v>44609</v>
      </c>
      <c r="C386" s="1" t="n">
        <v>45215</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 artfynd.xlsx", "A 8234-2022")</f>
        <v/>
      </c>
      <c r="T386">
        <f>HYPERLINK("https://klasma.github.io/Logging_2260/kartor/A 8234-2022 karta.png", "A 8234-2022")</f>
        <v/>
      </c>
      <c r="V386">
        <f>HYPERLINK("https://klasma.github.io/Logging_2260/klagomål/A 8234-2022 FSC-klagomål.docx", "A 8234-2022")</f>
        <v/>
      </c>
      <c r="W386">
        <f>HYPERLINK("https://klasma.github.io/Logging_2260/klagomålsmail/A 8234-2022 FSC-klagomål mail.docx", "A 8234-2022")</f>
        <v/>
      </c>
      <c r="X386">
        <f>HYPERLINK("https://klasma.github.io/Logging_2260/tillsyn/A 8234-2022 tillsynsbegäran.docx", "A 8234-2022")</f>
        <v/>
      </c>
      <c r="Y386">
        <f>HYPERLINK("https://klasma.github.io/Logging_2260/tillsynsmail/A 8234-2022 tillsynsbegäran mail.docx", "A 8234-2022")</f>
        <v/>
      </c>
    </row>
    <row r="387" ht="15" customHeight="1">
      <c r="A387" t="inlineStr">
        <is>
          <t>A 13059-2022</t>
        </is>
      </c>
      <c r="B387" s="1" t="n">
        <v>44643</v>
      </c>
      <c r="C387" s="1" t="n">
        <v>45215</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 artfynd.xlsx", "A 13059-2022")</f>
        <v/>
      </c>
      <c r="T387">
        <f>HYPERLINK("https://klasma.github.io/Logging_2283/kartor/A 13059-2022 karta.png", "A 13059-2022")</f>
        <v/>
      </c>
      <c r="V387">
        <f>HYPERLINK("https://klasma.github.io/Logging_2283/klagomål/A 13059-2022 FSC-klagomål.docx", "A 13059-2022")</f>
        <v/>
      </c>
      <c r="W387">
        <f>HYPERLINK("https://klasma.github.io/Logging_2283/klagomålsmail/A 13059-2022 FSC-klagomål mail.docx", "A 13059-2022")</f>
        <v/>
      </c>
      <c r="X387">
        <f>HYPERLINK("https://klasma.github.io/Logging_2283/tillsyn/A 13059-2022 tillsynsbegäran.docx", "A 13059-2022")</f>
        <v/>
      </c>
      <c r="Y387">
        <f>HYPERLINK("https://klasma.github.io/Logging_2283/tillsynsmail/A 13059-2022 tillsynsbegäran mail.docx", "A 13059-2022")</f>
        <v/>
      </c>
    </row>
    <row r="388" ht="15" customHeight="1">
      <c r="A388" t="inlineStr">
        <is>
          <t>A 16235-2022</t>
        </is>
      </c>
      <c r="B388" s="1" t="n">
        <v>44670</v>
      </c>
      <c r="C388" s="1" t="n">
        <v>45215</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 artfynd.xlsx", "A 16235-2022")</f>
        <v/>
      </c>
      <c r="T388">
        <f>HYPERLINK("https://klasma.github.io/Logging_2284/kartor/A 16235-2022 karta.png", "A 16235-2022")</f>
        <v/>
      </c>
      <c r="V388">
        <f>HYPERLINK("https://klasma.github.io/Logging_2284/klagomål/A 16235-2022 FSC-klagomål.docx", "A 16235-2022")</f>
        <v/>
      </c>
      <c r="W388">
        <f>HYPERLINK("https://klasma.github.io/Logging_2284/klagomålsmail/A 16235-2022 FSC-klagomål mail.docx", "A 16235-2022")</f>
        <v/>
      </c>
      <c r="X388">
        <f>HYPERLINK("https://klasma.github.io/Logging_2284/tillsyn/A 16235-2022 tillsynsbegäran.docx", "A 16235-2022")</f>
        <v/>
      </c>
      <c r="Y388">
        <f>HYPERLINK("https://klasma.github.io/Logging_2284/tillsynsmail/A 16235-2022 tillsynsbegäran mail.docx", "A 16235-2022")</f>
        <v/>
      </c>
    </row>
    <row r="389" ht="15" customHeight="1">
      <c r="A389" t="inlineStr">
        <is>
          <t>A 20310-2022</t>
        </is>
      </c>
      <c r="B389" s="1" t="n">
        <v>44698</v>
      </c>
      <c r="C389" s="1" t="n">
        <v>45215</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 artfynd.xlsx", "A 20310-2022")</f>
        <v/>
      </c>
      <c r="T389">
        <f>HYPERLINK("https://klasma.github.io/Logging_2283/kartor/A 20310-2022 karta.png", "A 20310-2022")</f>
        <v/>
      </c>
      <c r="V389">
        <f>HYPERLINK("https://klasma.github.io/Logging_2283/klagomål/A 20310-2022 FSC-klagomål.docx", "A 20310-2022")</f>
        <v/>
      </c>
      <c r="W389">
        <f>HYPERLINK("https://klasma.github.io/Logging_2283/klagomålsmail/A 20310-2022 FSC-klagomål mail.docx", "A 20310-2022")</f>
        <v/>
      </c>
      <c r="X389">
        <f>HYPERLINK("https://klasma.github.io/Logging_2283/tillsyn/A 20310-2022 tillsynsbegäran.docx", "A 20310-2022")</f>
        <v/>
      </c>
      <c r="Y389">
        <f>HYPERLINK("https://klasma.github.io/Logging_2283/tillsynsmail/A 20310-2022 tillsynsbegäran mail.docx", "A 20310-2022")</f>
        <v/>
      </c>
    </row>
    <row r="390" ht="15" customHeight="1">
      <c r="A390" t="inlineStr">
        <is>
          <t>A 20956-2022</t>
        </is>
      </c>
      <c r="B390" s="1" t="n">
        <v>44701</v>
      </c>
      <c r="C390" s="1" t="n">
        <v>45215</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 artfynd.xlsx", "A 20956-2022")</f>
        <v/>
      </c>
      <c r="T390">
        <f>HYPERLINK("https://klasma.github.io/Logging_2283/kartor/A 20956-2022 karta.png", "A 20956-2022")</f>
        <v/>
      </c>
      <c r="V390">
        <f>HYPERLINK("https://klasma.github.io/Logging_2283/klagomål/A 20956-2022 FSC-klagomål.docx", "A 20956-2022")</f>
        <v/>
      </c>
      <c r="W390">
        <f>HYPERLINK("https://klasma.github.io/Logging_2283/klagomålsmail/A 20956-2022 FSC-klagomål mail.docx", "A 20956-2022")</f>
        <v/>
      </c>
      <c r="X390">
        <f>HYPERLINK("https://klasma.github.io/Logging_2283/tillsyn/A 20956-2022 tillsynsbegäran.docx", "A 20956-2022")</f>
        <v/>
      </c>
      <c r="Y390">
        <f>HYPERLINK("https://klasma.github.io/Logging_2283/tillsynsmail/A 20956-2022 tillsynsbegäran mail.docx", "A 20956-2022")</f>
        <v/>
      </c>
    </row>
    <row r="391" ht="15" customHeight="1">
      <c r="A391" t="inlineStr">
        <is>
          <t>A 22567-2022</t>
        </is>
      </c>
      <c r="B391" s="1" t="n">
        <v>44713</v>
      </c>
      <c r="C391" s="1" t="n">
        <v>45215</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 artfynd.xlsx", "A 22567-2022")</f>
        <v/>
      </c>
      <c r="T391">
        <f>HYPERLINK("https://klasma.github.io/Logging_2281/kartor/A 22567-2022 karta.png", "A 22567-2022")</f>
        <v/>
      </c>
      <c r="V391">
        <f>HYPERLINK("https://klasma.github.io/Logging_2281/klagomål/A 22567-2022 FSC-klagomål.docx", "A 22567-2022")</f>
        <v/>
      </c>
      <c r="W391">
        <f>HYPERLINK("https://klasma.github.io/Logging_2281/klagomålsmail/A 22567-2022 FSC-klagomål mail.docx", "A 22567-2022")</f>
        <v/>
      </c>
      <c r="X391">
        <f>HYPERLINK("https://klasma.github.io/Logging_2281/tillsyn/A 22567-2022 tillsynsbegäran.docx", "A 22567-2022")</f>
        <v/>
      </c>
      <c r="Y391">
        <f>HYPERLINK("https://klasma.github.io/Logging_2281/tillsynsmail/A 22567-2022 tillsynsbegäran mail.docx", "A 22567-2022")</f>
        <v/>
      </c>
    </row>
    <row r="392" ht="15" customHeight="1">
      <c r="A392" t="inlineStr">
        <is>
          <t>A 24321-2022</t>
        </is>
      </c>
      <c r="B392" s="1" t="n">
        <v>44725</v>
      </c>
      <c r="C392" s="1" t="n">
        <v>45215</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 artfynd.xlsx", "A 24321-2022")</f>
        <v/>
      </c>
      <c r="T392">
        <f>HYPERLINK("https://klasma.github.io/Logging_2283/kartor/A 24321-2022 karta.png", "A 24321-2022")</f>
        <v/>
      </c>
      <c r="U392">
        <f>HYPERLINK("https://klasma.github.io/Logging_2283/knärot/A 24321-2022 karta knärot.png", "A 24321-2022")</f>
        <v/>
      </c>
      <c r="V392">
        <f>HYPERLINK("https://klasma.github.io/Logging_2283/klagomål/A 24321-2022 FSC-klagomål.docx", "A 24321-2022")</f>
        <v/>
      </c>
      <c r="W392">
        <f>HYPERLINK("https://klasma.github.io/Logging_2283/klagomålsmail/A 24321-2022 FSC-klagomål mail.docx", "A 24321-2022")</f>
        <v/>
      </c>
      <c r="X392">
        <f>HYPERLINK("https://klasma.github.io/Logging_2283/tillsyn/A 24321-2022 tillsynsbegäran.docx", "A 24321-2022")</f>
        <v/>
      </c>
      <c r="Y392">
        <f>HYPERLINK("https://klasma.github.io/Logging_2283/tillsynsmail/A 24321-2022 tillsynsbegäran mail.docx", "A 24321-2022")</f>
        <v/>
      </c>
    </row>
    <row r="393" ht="15" customHeight="1">
      <c r="A393" t="inlineStr">
        <is>
          <t>A 29549-2022</t>
        </is>
      </c>
      <c r="B393" s="1" t="n">
        <v>44753</v>
      </c>
      <c r="C393" s="1" t="n">
        <v>45215</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 artfynd.xlsx", "A 29549-2022")</f>
        <v/>
      </c>
      <c r="T393">
        <f>HYPERLINK("https://klasma.github.io/Logging_2283/kartor/A 29549-2022 karta.png", "A 29549-2022")</f>
        <v/>
      </c>
      <c r="V393">
        <f>HYPERLINK("https://klasma.github.io/Logging_2283/klagomål/A 29549-2022 FSC-klagomål.docx", "A 29549-2022")</f>
        <v/>
      </c>
      <c r="W393">
        <f>HYPERLINK("https://klasma.github.io/Logging_2283/klagomålsmail/A 29549-2022 FSC-klagomål mail.docx", "A 29549-2022")</f>
        <v/>
      </c>
      <c r="X393">
        <f>HYPERLINK("https://klasma.github.io/Logging_2283/tillsyn/A 29549-2022 tillsynsbegäran.docx", "A 29549-2022")</f>
        <v/>
      </c>
      <c r="Y393">
        <f>HYPERLINK("https://klasma.github.io/Logging_2283/tillsynsmail/A 29549-2022 tillsynsbegäran mail.docx", "A 29549-2022")</f>
        <v/>
      </c>
    </row>
    <row r="394" ht="15" customHeight="1">
      <c r="A394" t="inlineStr">
        <is>
          <t>A 30235-2022</t>
        </is>
      </c>
      <c r="B394" s="1" t="n">
        <v>44757</v>
      </c>
      <c r="C394" s="1" t="n">
        <v>45215</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 artfynd.xlsx", "A 30235-2022")</f>
        <v/>
      </c>
      <c r="T394">
        <f>HYPERLINK("https://klasma.github.io/Logging_2283/kartor/A 30235-2022 karta.png", "A 30235-2022")</f>
        <v/>
      </c>
      <c r="U394">
        <f>HYPERLINK("https://klasma.github.io/Logging_2283/knärot/A 30235-2022 karta knärot.png", "A 30235-2022")</f>
        <v/>
      </c>
      <c r="V394">
        <f>HYPERLINK("https://klasma.github.io/Logging_2283/klagomål/A 30235-2022 FSC-klagomål.docx", "A 30235-2022")</f>
        <v/>
      </c>
      <c r="W394">
        <f>HYPERLINK("https://klasma.github.io/Logging_2283/klagomålsmail/A 30235-2022 FSC-klagomål mail.docx", "A 30235-2022")</f>
        <v/>
      </c>
      <c r="X394">
        <f>HYPERLINK("https://klasma.github.io/Logging_2283/tillsyn/A 30235-2022 tillsynsbegäran.docx", "A 30235-2022")</f>
        <v/>
      </c>
      <c r="Y394">
        <f>HYPERLINK("https://klasma.github.io/Logging_2283/tillsynsmail/A 30235-2022 tillsynsbegäran mail.docx", "A 30235-2022")</f>
        <v/>
      </c>
    </row>
    <row r="395" ht="15" customHeight="1">
      <c r="A395" t="inlineStr">
        <is>
          <t>A 32766-2022</t>
        </is>
      </c>
      <c r="B395" s="1" t="n">
        <v>44783</v>
      </c>
      <c r="C395" s="1" t="n">
        <v>45215</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 artfynd.xlsx", "A 32766-2022")</f>
        <v/>
      </c>
      <c r="T395">
        <f>HYPERLINK("https://klasma.github.io/Logging_2281/kartor/A 32766-2022 karta.png", "A 32766-2022")</f>
        <v/>
      </c>
      <c r="V395">
        <f>HYPERLINK("https://klasma.github.io/Logging_2281/klagomål/A 32766-2022 FSC-klagomål.docx", "A 32766-2022")</f>
        <v/>
      </c>
      <c r="W395">
        <f>HYPERLINK("https://klasma.github.io/Logging_2281/klagomålsmail/A 32766-2022 FSC-klagomål mail.docx", "A 32766-2022")</f>
        <v/>
      </c>
      <c r="X395">
        <f>HYPERLINK("https://klasma.github.io/Logging_2281/tillsyn/A 32766-2022 tillsynsbegäran.docx", "A 32766-2022")</f>
        <v/>
      </c>
      <c r="Y395">
        <f>HYPERLINK("https://klasma.github.io/Logging_2281/tillsynsmail/A 32766-2022 tillsynsbegäran mail.docx", "A 32766-2022")</f>
        <v/>
      </c>
    </row>
    <row r="396" ht="15" customHeight="1">
      <c r="A396" t="inlineStr">
        <is>
          <t>A 33087-2022</t>
        </is>
      </c>
      <c r="B396" s="1" t="n">
        <v>44785</v>
      </c>
      <c r="C396" s="1" t="n">
        <v>45215</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 artfynd.xlsx", "A 33087-2022")</f>
        <v/>
      </c>
      <c r="T396">
        <f>HYPERLINK("https://klasma.github.io/Logging_2283/kartor/A 33087-2022 karta.png", "A 33087-2022")</f>
        <v/>
      </c>
      <c r="V396">
        <f>HYPERLINK("https://klasma.github.io/Logging_2283/klagomål/A 33087-2022 FSC-klagomål.docx", "A 33087-2022")</f>
        <v/>
      </c>
      <c r="W396">
        <f>HYPERLINK("https://klasma.github.io/Logging_2283/klagomålsmail/A 33087-2022 FSC-klagomål mail.docx", "A 33087-2022")</f>
        <v/>
      </c>
      <c r="X396">
        <f>HYPERLINK("https://klasma.github.io/Logging_2283/tillsyn/A 33087-2022 tillsynsbegäran.docx", "A 33087-2022")</f>
        <v/>
      </c>
      <c r="Y396">
        <f>HYPERLINK("https://klasma.github.io/Logging_2283/tillsynsmail/A 33087-2022 tillsynsbegäran mail.docx", "A 33087-2022")</f>
        <v/>
      </c>
    </row>
    <row r="397" ht="15" customHeight="1">
      <c r="A397" t="inlineStr">
        <is>
          <t>A 34526-2022</t>
        </is>
      </c>
      <c r="B397" s="1" t="n">
        <v>44792</v>
      </c>
      <c r="C397" s="1" t="n">
        <v>45215</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 artfynd.xlsx", "A 34526-2022")</f>
        <v/>
      </c>
      <c r="T397">
        <f>HYPERLINK("https://klasma.github.io/Logging_2283/kartor/A 34526-2022 karta.png", "A 34526-2022")</f>
        <v/>
      </c>
      <c r="V397">
        <f>HYPERLINK("https://klasma.github.io/Logging_2283/klagomål/A 34526-2022 FSC-klagomål.docx", "A 34526-2022")</f>
        <v/>
      </c>
      <c r="W397">
        <f>HYPERLINK("https://klasma.github.io/Logging_2283/klagomålsmail/A 34526-2022 FSC-klagomål mail.docx", "A 34526-2022")</f>
        <v/>
      </c>
      <c r="X397">
        <f>HYPERLINK("https://klasma.github.io/Logging_2283/tillsyn/A 34526-2022 tillsynsbegäran.docx", "A 34526-2022")</f>
        <v/>
      </c>
      <c r="Y397">
        <f>HYPERLINK("https://klasma.github.io/Logging_2283/tillsynsmail/A 34526-2022 tillsynsbegäran mail.docx", "A 34526-2022")</f>
        <v/>
      </c>
    </row>
    <row r="398" ht="15" customHeight="1">
      <c r="A398" t="inlineStr">
        <is>
          <t>A 37243-2022</t>
        </is>
      </c>
      <c r="B398" s="1" t="n">
        <v>44806</v>
      </c>
      <c r="C398" s="1" t="n">
        <v>45215</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 artfynd.xlsx", "A 37243-2022")</f>
        <v/>
      </c>
      <c r="T398">
        <f>HYPERLINK("https://klasma.github.io/Logging_2283/kartor/A 37243-2022 karta.png", "A 37243-2022")</f>
        <v/>
      </c>
      <c r="V398">
        <f>HYPERLINK("https://klasma.github.io/Logging_2283/klagomål/A 37243-2022 FSC-klagomål.docx", "A 37243-2022")</f>
        <v/>
      </c>
      <c r="W398">
        <f>HYPERLINK("https://klasma.github.io/Logging_2283/klagomålsmail/A 37243-2022 FSC-klagomål mail.docx", "A 37243-2022")</f>
        <v/>
      </c>
      <c r="X398">
        <f>HYPERLINK("https://klasma.github.io/Logging_2283/tillsyn/A 37243-2022 tillsynsbegäran.docx", "A 37243-2022")</f>
        <v/>
      </c>
      <c r="Y398">
        <f>HYPERLINK("https://klasma.github.io/Logging_2283/tillsynsmail/A 37243-2022 tillsynsbegäran mail.docx", "A 37243-2022")</f>
        <v/>
      </c>
    </row>
    <row r="399" ht="15" customHeight="1">
      <c r="A399" t="inlineStr">
        <is>
          <t>A 38429-2022</t>
        </is>
      </c>
      <c r="B399" s="1" t="n">
        <v>44812</v>
      </c>
      <c r="C399" s="1" t="n">
        <v>45215</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 artfynd.xlsx", "A 38429-2022")</f>
        <v/>
      </c>
      <c r="T399">
        <f>HYPERLINK("https://klasma.github.io/Logging_2260/kartor/A 38429-2022 karta.png", "A 38429-2022")</f>
        <v/>
      </c>
      <c r="V399">
        <f>HYPERLINK("https://klasma.github.io/Logging_2260/klagomål/A 38429-2022 FSC-klagomål.docx", "A 38429-2022")</f>
        <v/>
      </c>
      <c r="W399">
        <f>HYPERLINK("https://klasma.github.io/Logging_2260/klagomålsmail/A 38429-2022 FSC-klagomål mail.docx", "A 38429-2022")</f>
        <v/>
      </c>
      <c r="X399">
        <f>HYPERLINK("https://klasma.github.io/Logging_2260/tillsyn/A 38429-2022 tillsynsbegäran.docx", "A 38429-2022")</f>
        <v/>
      </c>
      <c r="Y399">
        <f>HYPERLINK("https://klasma.github.io/Logging_2260/tillsynsmail/A 38429-2022 tillsynsbegäran mail.docx", "A 38429-2022")</f>
        <v/>
      </c>
    </row>
    <row r="400" ht="15" customHeight="1">
      <c r="A400" t="inlineStr">
        <is>
          <t>A 41814-2022</t>
        </is>
      </c>
      <c r="B400" s="1" t="n">
        <v>44827</v>
      </c>
      <c r="C400" s="1" t="n">
        <v>45215</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 artfynd.xlsx", "A 41814-2022")</f>
        <v/>
      </c>
      <c r="T400">
        <f>HYPERLINK("https://klasma.github.io/Logging_2281/kartor/A 41814-2022 karta.png", "A 41814-2022")</f>
        <v/>
      </c>
      <c r="V400">
        <f>HYPERLINK("https://klasma.github.io/Logging_2281/klagomål/A 41814-2022 FSC-klagomål.docx", "A 41814-2022")</f>
        <v/>
      </c>
      <c r="W400">
        <f>HYPERLINK("https://klasma.github.io/Logging_2281/klagomålsmail/A 41814-2022 FSC-klagomål mail.docx", "A 41814-2022")</f>
        <v/>
      </c>
      <c r="X400">
        <f>HYPERLINK("https://klasma.github.io/Logging_2281/tillsyn/A 41814-2022 tillsynsbegäran.docx", "A 41814-2022")</f>
        <v/>
      </c>
      <c r="Y400">
        <f>HYPERLINK("https://klasma.github.io/Logging_2281/tillsynsmail/A 41814-2022 tillsynsbegäran mail.docx", "A 41814-2022")</f>
        <v/>
      </c>
    </row>
    <row r="401" ht="15" customHeight="1">
      <c r="A401" t="inlineStr">
        <is>
          <t>A 41509-2022</t>
        </is>
      </c>
      <c r="B401" s="1" t="n">
        <v>44827</v>
      </c>
      <c r="C401" s="1" t="n">
        <v>45215</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 artfynd.xlsx", "A 41509-2022")</f>
        <v/>
      </c>
      <c r="T401">
        <f>HYPERLINK("https://klasma.github.io/Logging_2283/kartor/A 41509-2022 karta.png", "A 41509-2022")</f>
        <v/>
      </c>
      <c r="V401">
        <f>HYPERLINK("https://klasma.github.io/Logging_2283/klagomål/A 41509-2022 FSC-klagomål.docx", "A 41509-2022")</f>
        <v/>
      </c>
      <c r="W401">
        <f>HYPERLINK("https://klasma.github.io/Logging_2283/klagomålsmail/A 41509-2022 FSC-klagomål mail.docx", "A 41509-2022")</f>
        <v/>
      </c>
      <c r="X401">
        <f>HYPERLINK("https://klasma.github.io/Logging_2283/tillsyn/A 41509-2022 tillsynsbegäran.docx", "A 41509-2022")</f>
        <v/>
      </c>
      <c r="Y401">
        <f>HYPERLINK("https://klasma.github.io/Logging_2283/tillsynsmail/A 41509-2022 tillsynsbegäran mail.docx", "A 41509-2022")</f>
        <v/>
      </c>
    </row>
    <row r="402" ht="15" customHeight="1">
      <c r="A402" t="inlineStr">
        <is>
          <t>A 42284-2022</t>
        </is>
      </c>
      <c r="B402" s="1" t="n">
        <v>44830</v>
      </c>
      <c r="C402" s="1" t="n">
        <v>45215</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 artfynd.xlsx", "A 42284-2022")</f>
        <v/>
      </c>
      <c r="T402">
        <f>HYPERLINK("https://klasma.github.io/Logging_2262/kartor/A 42284-2022 karta.png", "A 42284-2022")</f>
        <v/>
      </c>
      <c r="V402">
        <f>HYPERLINK("https://klasma.github.io/Logging_2262/klagomål/A 42284-2022 FSC-klagomål.docx", "A 42284-2022")</f>
        <v/>
      </c>
      <c r="W402">
        <f>HYPERLINK("https://klasma.github.io/Logging_2262/klagomålsmail/A 42284-2022 FSC-klagomål mail.docx", "A 42284-2022")</f>
        <v/>
      </c>
      <c r="X402">
        <f>HYPERLINK("https://klasma.github.io/Logging_2262/tillsyn/A 42284-2022 tillsynsbegäran.docx", "A 42284-2022")</f>
        <v/>
      </c>
      <c r="Y402">
        <f>HYPERLINK("https://klasma.github.io/Logging_2262/tillsynsmail/A 42284-2022 tillsynsbegäran mail.docx", "A 42284-2022")</f>
        <v/>
      </c>
    </row>
    <row r="403" ht="15" customHeight="1">
      <c r="A403" t="inlineStr">
        <is>
          <t>A 42285-2022</t>
        </is>
      </c>
      <c r="B403" s="1" t="n">
        <v>44830</v>
      </c>
      <c r="C403" s="1" t="n">
        <v>45215</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 artfynd.xlsx", "A 42285-2022")</f>
        <v/>
      </c>
      <c r="T403">
        <f>HYPERLINK("https://klasma.github.io/Logging_2262/kartor/A 42285-2022 karta.png", "A 42285-2022")</f>
        <v/>
      </c>
      <c r="V403">
        <f>HYPERLINK("https://klasma.github.io/Logging_2262/klagomål/A 42285-2022 FSC-klagomål.docx", "A 42285-2022")</f>
        <v/>
      </c>
      <c r="W403">
        <f>HYPERLINK("https://klasma.github.io/Logging_2262/klagomålsmail/A 42285-2022 FSC-klagomål mail.docx", "A 42285-2022")</f>
        <v/>
      </c>
      <c r="X403">
        <f>HYPERLINK("https://klasma.github.io/Logging_2262/tillsyn/A 42285-2022 tillsynsbegäran.docx", "A 42285-2022")</f>
        <v/>
      </c>
      <c r="Y403">
        <f>HYPERLINK("https://klasma.github.io/Logging_2262/tillsynsmail/A 42285-2022 tillsynsbegäran mail.docx", "A 42285-2022")</f>
        <v/>
      </c>
    </row>
    <row r="404" ht="15" customHeight="1">
      <c r="A404" t="inlineStr">
        <is>
          <t>A 42283-2022</t>
        </is>
      </c>
      <c r="B404" s="1" t="n">
        <v>44830</v>
      </c>
      <c r="C404" s="1" t="n">
        <v>45215</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 artfynd.xlsx", "A 42283-2022")</f>
        <v/>
      </c>
      <c r="T404">
        <f>HYPERLINK("https://klasma.github.io/Logging_2262/kartor/A 42283-2022 karta.png", "A 42283-2022")</f>
        <v/>
      </c>
      <c r="V404">
        <f>HYPERLINK("https://klasma.github.io/Logging_2262/klagomål/A 42283-2022 FSC-klagomål.docx", "A 42283-2022")</f>
        <v/>
      </c>
      <c r="W404">
        <f>HYPERLINK("https://klasma.github.io/Logging_2262/klagomålsmail/A 42283-2022 FSC-klagomål mail.docx", "A 42283-2022")</f>
        <v/>
      </c>
      <c r="X404">
        <f>HYPERLINK("https://klasma.github.io/Logging_2262/tillsyn/A 42283-2022 tillsynsbegäran.docx", "A 42283-2022")</f>
        <v/>
      </c>
      <c r="Y404">
        <f>HYPERLINK("https://klasma.github.io/Logging_2262/tillsynsmail/A 42283-2022 tillsynsbegäran mail.docx", "A 42283-2022")</f>
        <v/>
      </c>
    </row>
    <row r="405" ht="15" customHeight="1">
      <c r="A405" t="inlineStr">
        <is>
          <t>A 42889-2022</t>
        </is>
      </c>
      <c r="B405" s="1" t="n">
        <v>44832</v>
      </c>
      <c r="C405" s="1" t="n">
        <v>45215</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 artfynd.xlsx", "A 42889-2022")</f>
        <v/>
      </c>
      <c r="T405">
        <f>HYPERLINK("https://klasma.github.io/Logging_2262/kartor/A 42889-2022 karta.png", "A 42889-2022")</f>
        <v/>
      </c>
      <c r="V405">
        <f>HYPERLINK("https://klasma.github.io/Logging_2262/klagomål/A 42889-2022 FSC-klagomål.docx", "A 42889-2022")</f>
        <v/>
      </c>
      <c r="W405">
        <f>HYPERLINK("https://klasma.github.io/Logging_2262/klagomålsmail/A 42889-2022 FSC-klagomål mail.docx", "A 42889-2022")</f>
        <v/>
      </c>
      <c r="X405">
        <f>HYPERLINK("https://klasma.github.io/Logging_2262/tillsyn/A 42889-2022 tillsynsbegäran.docx", "A 42889-2022")</f>
        <v/>
      </c>
      <c r="Y405">
        <f>HYPERLINK("https://klasma.github.io/Logging_2262/tillsynsmail/A 42889-2022 tillsynsbegäran mail.docx", "A 42889-2022")</f>
        <v/>
      </c>
    </row>
    <row r="406" ht="15" customHeight="1">
      <c r="A406" t="inlineStr">
        <is>
          <t>A 45083-2022</t>
        </is>
      </c>
      <c r="B406" s="1" t="n">
        <v>44841</v>
      </c>
      <c r="C406" s="1" t="n">
        <v>45215</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 artfynd.xlsx", "A 45083-2022")</f>
        <v/>
      </c>
      <c r="T406">
        <f>HYPERLINK("https://klasma.github.io/Logging_2283/kartor/A 45083-2022 karta.png", "A 45083-2022")</f>
        <v/>
      </c>
      <c r="V406">
        <f>HYPERLINK("https://klasma.github.io/Logging_2283/klagomål/A 45083-2022 FSC-klagomål.docx", "A 45083-2022")</f>
        <v/>
      </c>
      <c r="W406">
        <f>HYPERLINK("https://klasma.github.io/Logging_2283/klagomålsmail/A 45083-2022 FSC-klagomål mail.docx", "A 45083-2022")</f>
        <v/>
      </c>
      <c r="X406">
        <f>HYPERLINK("https://klasma.github.io/Logging_2283/tillsyn/A 45083-2022 tillsynsbegäran.docx", "A 45083-2022")</f>
        <v/>
      </c>
      <c r="Y406">
        <f>HYPERLINK("https://klasma.github.io/Logging_2283/tillsynsmail/A 45083-2022 tillsynsbegäran mail.docx", "A 45083-2022")</f>
        <v/>
      </c>
    </row>
    <row r="407" ht="15" customHeight="1">
      <c r="A407" t="inlineStr">
        <is>
          <t>A 45084-2022</t>
        </is>
      </c>
      <c r="B407" s="1" t="n">
        <v>44841</v>
      </c>
      <c r="C407" s="1" t="n">
        <v>45215</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 artfynd.xlsx", "A 45084-2022")</f>
        <v/>
      </c>
      <c r="T407">
        <f>HYPERLINK("https://klasma.github.io/Logging_2283/kartor/A 45084-2022 karta.png", "A 45084-2022")</f>
        <v/>
      </c>
      <c r="V407">
        <f>HYPERLINK("https://klasma.github.io/Logging_2283/klagomål/A 45084-2022 FSC-klagomål.docx", "A 45084-2022")</f>
        <v/>
      </c>
      <c r="W407">
        <f>HYPERLINK("https://klasma.github.io/Logging_2283/klagomålsmail/A 45084-2022 FSC-klagomål mail.docx", "A 45084-2022")</f>
        <v/>
      </c>
      <c r="X407">
        <f>HYPERLINK("https://klasma.github.io/Logging_2283/tillsyn/A 45084-2022 tillsynsbegäran.docx", "A 45084-2022")</f>
        <v/>
      </c>
      <c r="Y407">
        <f>HYPERLINK("https://klasma.github.io/Logging_2283/tillsynsmail/A 45084-2022 tillsynsbegäran mail.docx", "A 45084-2022")</f>
        <v/>
      </c>
    </row>
    <row r="408" ht="15" customHeight="1">
      <c r="A408" t="inlineStr">
        <is>
          <t>A 47438-2022</t>
        </is>
      </c>
      <c r="B408" s="1" t="n">
        <v>44853</v>
      </c>
      <c r="C408" s="1" t="n">
        <v>45215</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 artfynd.xlsx", "A 47438-2022")</f>
        <v/>
      </c>
      <c r="T408">
        <f>HYPERLINK("https://klasma.github.io/Logging_2260/kartor/A 47438-2022 karta.png", "A 47438-2022")</f>
        <v/>
      </c>
      <c r="V408">
        <f>HYPERLINK("https://klasma.github.io/Logging_2260/klagomål/A 47438-2022 FSC-klagomål.docx", "A 47438-2022")</f>
        <v/>
      </c>
      <c r="W408">
        <f>HYPERLINK("https://klasma.github.io/Logging_2260/klagomålsmail/A 47438-2022 FSC-klagomål mail.docx", "A 47438-2022")</f>
        <v/>
      </c>
      <c r="X408">
        <f>HYPERLINK("https://klasma.github.io/Logging_2260/tillsyn/A 47438-2022 tillsynsbegäran.docx", "A 47438-2022")</f>
        <v/>
      </c>
      <c r="Y408">
        <f>HYPERLINK("https://klasma.github.io/Logging_2260/tillsynsmail/A 47438-2022 tillsynsbegäran mail.docx", "A 47438-2022")</f>
        <v/>
      </c>
    </row>
    <row r="409" ht="15" customHeight="1">
      <c r="A409" t="inlineStr">
        <is>
          <t>A 48152-2022</t>
        </is>
      </c>
      <c r="B409" s="1" t="n">
        <v>44853</v>
      </c>
      <c r="C409" s="1" t="n">
        <v>45215</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 artfynd.xlsx", "A 48152-2022")</f>
        <v/>
      </c>
      <c r="T409">
        <f>HYPERLINK("https://klasma.github.io/Logging_2260/kartor/A 48152-2022 karta.png", "A 48152-2022")</f>
        <v/>
      </c>
      <c r="V409">
        <f>HYPERLINK("https://klasma.github.io/Logging_2260/klagomål/A 48152-2022 FSC-klagomål.docx", "A 48152-2022")</f>
        <v/>
      </c>
      <c r="W409">
        <f>HYPERLINK("https://klasma.github.io/Logging_2260/klagomålsmail/A 48152-2022 FSC-klagomål mail.docx", "A 48152-2022")</f>
        <v/>
      </c>
      <c r="X409">
        <f>HYPERLINK("https://klasma.github.io/Logging_2260/tillsyn/A 48152-2022 tillsynsbegäran.docx", "A 48152-2022")</f>
        <v/>
      </c>
      <c r="Y409">
        <f>HYPERLINK("https://klasma.github.io/Logging_2260/tillsynsmail/A 48152-2022 tillsynsbegäran mail.docx", "A 48152-2022")</f>
        <v/>
      </c>
    </row>
    <row r="410" ht="15" customHeight="1">
      <c r="A410" t="inlineStr">
        <is>
          <t>A 48073-2022</t>
        </is>
      </c>
      <c r="B410" s="1" t="n">
        <v>44855</v>
      </c>
      <c r="C410" s="1" t="n">
        <v>45215</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 artfynd.xlsx", "A 48073-2022")</f>
        <v/>
      </c>
      <c r="T410">
        <f>HYPERLINK("https://klasma.github.io/Logging_2283/kartor/A 48073-2022 karta.png", "A 48073-2022")</f>
        <v/>
      </c>
      <c r="V410">
        <f>HYPERLINK("https://klasma.github.io/Logging_2283/klagomål/A 48073-2022 FSC-klagomål.docx", "A 48073-2022")</f>
        <v/>
      </c>
      <c r="W410">
        <f>HYPERLINK("https://klasma.github.io/Logging_2283/klagomålsmail/A 48073-2022 FSC-klagomål mail.docx", "A 48073-2022")</f>
        <v/>
      </c>
      <c r="X410">
        <f>HYPERLINK("https://klasma.github.io/Logging_2283/tillsyn/A 48073-2022 tillsynsbegäran.docx", "A 48073-2022")</f>
        <v/>
      </c>
      <c r="Y410">
        <f>HYPERLINK("https://klasma.github.io/Logging_2283/tillsynsmail/A 48073-2022 tillsynsbegäran mail.docx", "A 48073-2022")</f>
        <v/>
      </c>
    </row>
    <row r="411" ht="15" customHeight="1">
      <c r="A411" t="inlineStr">
        <is>
          <t>A 49202-2022</t>
        </is>
      </c>
      <c r="B411" s="1" t="n">
        <v>44860</v>
      </c>
      <c r="C411" s="1" t="n">
        <v>45215</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 artfynd.xlsx", "A 49202-2022")</f>
        <v/>
      </c>
      <c r="T411">
        <f>HYPERLINK("https://klasma.github.io/Logging_2262/kartor/A 49202-2022 karta.png", "A 49202-2022")</f>
        <v/>
      </c>
      <c r="V411">
        <f>HYPERLINK("https://klasma.github.io/Logging_2262/klagomål/A 49202-2022 FSC-klagomål.docx", "A 49202-2022")</f>
        <v/>
      </c>
      <c r="W411">
        <f>HYPERLINK("https://klasma.github.io/Logging_2262/klagomålsmail/A 49202-2022 FSC-klagomål mail.docx", "A 49202-2022")</f>
        <v/>
      </c>
      <c r="X411">
        <f>HYPERLINK("https://klasma.github.io/Logging_2262/tillsyn/A 49202-2022 tillsynsbegäran.docx", "A 49202-2022")</f>
        <v/>
      </c>
      <c r="Y411">
        <f>HYPERLINK("https://klasma.github.io/Logging_2262/tillsynsmail/A 49202-2022 tillsynsbegäran mail.docx", "A 49202-2022")</f>
        <v/>
      </c>
    </row>
    <row r="412" ht="15" customHeight="1">
      <c r="A412" t="inlineStr">
        <is>
          <t>A 49289-2022</t>
        </is>
      </c>
      <c r="B412" s="1" t="n">
        <v>44861</v>
      </c>
      <c r="C412" s="1" t="n">
        <v>45215</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 artfynd.xlsx", "A 49289-2022")</f>
        <v/>
      </c>
      <c r="T412">
        <f>HYPERLINK("https://klasma.github.io/Logging_2284/kartor/A 49289-2022 karta.png", "A 49289-2022")</f>
        <v/>
      </c>
      <c r="V412">
        <f>HYPERLINK("https://klasma.github.io/Logging_2284/klagomål/A 49289-2022 FSC-klagomål.docx", "A 49289-2022")</f>
        <v/>
      </c>
      <c r="W412">
        <f>HYPERLINK("https://klasma.github.io/Logging_2284/klagomålsmail/A 49289-2022 FSC-klagomål mail.docx", "A 49289-2022")</f>
        <v/>
      </c>
      <c r="X412">
        <f>HYPERLINK("https://klasma.github.io/Logging_2284/tillsyn/A 49289-2022 tillsynsbegäran.docx", "A 49289-2022")</f>
        <v/>
      </c>
      <c r="Y412">
        <f>HYPERLINK("https://klasma.github.io/Logging_2284/tillsynsmail/A 49289-2022 tillsynsbegäran mail.docx", "A 49289-2022")</f>
        <v/>
      </c>
    </row>
    <row r="413" ht="15" customHeight="1">
      <c r="A413" t="inlineStr">
        <is>
          <t>A 51087-2022</t>
        </is>
      </c>
      <c r="B413" s="1" t="n">
        <v>44865</v>
      </c>
      <c r="C413" s="1" t="n">
        <v>45215</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 artfynd.xlsx", "A 51087-2022")</f>
        <v/>
      </c>
      <c r="T413">
        <f>HYPERLINK("https://klasma.github.io/Logging_2281/kartor/A 51087-2022 karta.png", "A 51087-2022")</f>
        <v/>
      </c>
      <c r="U413">
        <f>HYPERLINK("https://klasma.github.io/Logging_2281/knärot/A 51087-2022 karta knärot.png", "A 51087-2022")</f>
        <v/>
      </c>
      <c r="V413">
        <f>HYPERLINK("https://klasma.github.io/Logging_2281/klagomål/A 51087-2022 FSC-klagomål.docx", "A 51087-2022")</f>
        <v/>
      </c>
      <c r="W413">
        <f>HYPERLINK("https://klasma.github.io/Logging_2281/klagomålsmail/A 51087-2022 FSC-klagomål mail.docx", "A 51087-2022")</f>
        <v/>
      </c>
      <c r="X413">
        <f>HYPERLINK("https://klasma.github.io/Logging_2281/tillsyn/A 51087-2022 tillsynsbegäran.docx", "A 51087-2022")</f>
        <v/>
      </c>
      <c r="Y413">
        <f>HYPERLINK("https://klasma.github.io/Logging_2281/tillsynsmail/A 51087-2022 tillsynsbegäran mail.docx", "A 51087-2022")</f>
        <v/>
      </c>
    </row>
    <row r="414" ht="15" customHeight="1">
      <c r="A414" t="inlineStr">
        <is>
          <t>A 50570-2022</t>
        </is>
      </c>
      <c r="B414" s="1" t="n">
        <v>44866</v>
      </c>
      <c r="C414" s="1" t="n">
        <v>45215</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 artfynd.xlsx", "A 50570-2022")</f>
        <v/>
      </c>
      <c r="T414">
        <f>HYPERLINK("https://klasma.github.io/Logging_2284/kartor/A 50570-2022 karta.png", "A 50570-2022")</f>
        <v/>
      </c>
      <c r="V414">
        <f>HYPERLINK("https://klasma.github.io/Logging_2284/klagomål/A 50570-2022 FSC-klagomål.docx", "A 50570-2022")</f>
        <v/>
      </c>
      <c r="W414">
        <f>HYPERLINK("https://klasma.github.io/Logging_2284/klagomålsmail/A 50570-2022 FSC-klagomål mail.docx", "A 50570-2022")</f>
        <v/>
      </c>
      <c r="X414">
        <f>HYPERLINK("https://klasma.github.io/Logging_2284/tillsyn/A 50570-2022 tillsynsbegäran.docx", "A 50570-2022")</f>
        <v/>
      </c>
      <c r="Y414">
        <f>HYPERLINK("https://klasma.github.io/Logging_2284/tillsynsmail/A 50570-2022 tillsynsbegäran mail.docx", "A 50570-2022")</f>
        <v/>
      </c>
    </row>
    <row r="415" ht="15" customHeight="1">
      <c r="A415" t="inlineStr">
        <is>
          <t>A 52350-2022</t>
        </is>
      </c>
      <c r="B415" s="1" t="n">
        <v>44873</v>
      </c>
      <c r="C415" s="1" t="n">
        <v>45215</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 artfynd.xlsx", "A 52350-2022")</f>
        <v/>
      </c>
      <c r="T415">
        <f>HYPERLINK("https://klasma.github.io/Logging_2281/kartor/A 52350-2022 karta.png", "A 52350-2022")</f>
        <v/>
      </c>
      <c r="V415">
        <f>HYPERLINK("https://klasma.github.io/Logging_2281/klagomål/A 52350-2022 FSC-klagomål.docx", "A 52350-2022")</f>
        <v/>
      </c>
      <c r="W415">
        <f>HYPERLINK("https://klasma.github.io/Logging_2281/klagomålsmail/A 52350-2022 FSC-klagomål mail.docx", "A 52350-2022")</f>
        <v/>
      </c>
      <c r="X415">
        <f>HYPERLINK("https://klasma.github.io/Logging_2281/tillsyn/A 52350-2022 tillsynsbegäran.docx", "A 52350-2022")</f>
        <v/>
      </c>
      <c r="Y415">
        <f>HYPERLINK("https://klasma.github.io/Logging_2281/tillsynsmail/A 52350-2022 tillsynsbegäran mail.docx", "A 52350-2022")</f>
        <v/>
      </c>
    </row>
    <row r="416" ht="15" customHeight="1">
      <c r="A416" t="inlineStr">
        <is>
          <t>A 53130-2022</t>
        </is>
      </c>
      <c r="B416" s="1" t="n">
        <v>44873</v>
      </c>
      <c r="C416" s="1" t="n">
        <v>45215</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 artfynd.xlsx", "A 53130-2022")</f>
        <v/>
      </c>
      <c r="T416">
        <f>HYPERLINK("https://klasma.github.io/Logging_2283/kartor/A 53130-2022 karta.png", "A 53130-2022")</f>
        <v/>
      </c>
      <c r="V416">
        <f>HYPERLINK("https://klasma.github.io/Logging_2283/klagomål/A 53130-2022 FSC-klagomål.docx", "A 53130-2022")</f>
        <v/>
      </c>
      <c r="W416">
        <f>HYPERLINK("https://klasma.github.io/Logging_2283/klagomålsmail/A 53130-2022 FSC-klagomål mail.docx", "A 53130-2022")</f>
        <v/>
      </c>
      <c r="X416">
        <f>HYPERLINK("https://klasma.github.io/Logging_2283/tillsyn/A 53130-2022 tillsynsbegäran.docx", "A 53130-2022")</f>
        <v/>
      </c>
      <c r="Y416">
        <f>HYPERLINK("https://klasma.github.io/Logging_2283/tillsynsmail/A 53130-2022 tillsynsbegäran mail.docx", "A 53130-2022")</f>
        <v/>
      </c>
    </row>
    <row r="417" ht="15" customHeight="1">
      <c r="A417" t="inlineStr">
        <is>
          <t>A 52727-2022</t>
        </is>
      </c>
      <c r="B417" s="1" t="n">
        <v>44874</v>
      </c>
      <c r="C417" s="1" t="n">
        <v>45215</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 artfynd.xlsx", "A 52727-2022")</f>
        <v/>
      </c>
      <c r="T417">
        <f>HYPERLINK("https://klasma.github.io/Logging_2280/kartor/A 52727-2022 karta.png", "A 52727-2022")</f>
        <v/>
      </c>
      <c r="V417">
        <f>HYPERLINK("https://klasma.github.io/Logging_2280/klagomål/A 52727-2022 FSC-klagomål.docx", "A 52727-2022")</f>
        <v/>
      </c>
      <c r="W417">
        <f>HYPERLINK("https://klasma.github.io/Logging_2280/klagomålsmail/A 52727-2022 FSC-klagomål mail.docx", "A 52727-2022")</f>
        <v/>
      </c>
      <c r="X417">
        <f>HYPERLINK("https://klasma.github.io/Logging_2280/tillsyn/A 52727-2022 tillsynsbegäran.docx", "A 52727-2022")</f>
        <v/>
      </c>
      <c r="Y417">
        <f>HYPERLINK("https://klasma.github.io/Logging_2280/tillsynsmail/A 52727-2022 tillsynsbegäran mail.docx", "A 52727-2022")</f>
        <v/>
      </c>
    </row>
    <row r="418" ht="15" customHeight="1">
      <c r="A418" t="inlineStr">
        <is>
          <t>A 52741-2022</t>
        </is>
      </c>
      <c r="B418" s="1" t="n">
        <v>44874</v>
      </c>
      <c r="C418" s="1" t="n">
        <v>45215</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 artfynd.xlsx", "A 52741-2022")</f>
        <v/>
      </c>
      <c r="T418">
        <f>HYPERLINK("https://klasma.github.io/Logging_2281/kartor/A 52741-2022 karta.png", "A 52741-2022")</f>
        <v/>
      </c>
      <c r="V418">
        <f>HYPERLINK("https://klasma.github.io/Logging_2281/klagomål/A 52741-2022 FSC-klagomål.docx", "A 52741-2022")</f>
        <v/>
      </c>
      <c r="W418">
        <f>HYPERLINK("https://klasma.github.io/Logging_2281/klagomålsmail/A 52741-2022 FSC-klagomål mail.docx", "A 52741-2022")</f>
        <v/>
      </c>
      <c r="X418">
        <f>HYPERLINK("https://klasma.github.io/Logging_2281/tillsyn/A 52741-2022 tillsynsbegäran.docx", "A 52741-2022")</f>
        <v/>
      </c>
      <c r="Y418">
        <f>HYPERLINK("https://klasma.github.io/Logging_2281/tillsynsmail/A 52741-2022 tillsynsbegäran mail.docx", "A 52741-2022")</f>
        <v/>
      </c>
    </row>
    <row r="419" ht="15" customHeight="1">
      <c r="A419" t="inlineStr">
        <is>
          <t>A 53668-2022</t>
        </is>
      </c>
      <c r="B419" s="1" t="n">
        <v>44879</v>
      </c>
      <c r="C419" s="1" t="n">
        <v>45215</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 artfynd.xlsx", "A 53668-2022")</f>
        <v/>
      </c>
      <c r="T419">
        <f>HYPERLINK("https://klasma.github.io/Logging_2283/kartor/A 53668-2022 karta.png", "A 53668-2022")</f>
        <v/>
      </c>
      <c r="V419">
        <f>HYPERLINK("https://klasma.github.io/Logging_2283/klagomål/A 53668-2022 FSC-klagomål.docx", "A 53668-2022")</f>
        <v/>
      </c>
      <c r="W419">
        <f>HYPERLINK("https://klasma.github.io/Logging_2283/klagomålsmail/A 53668-2022 FSC-klagomål mail.docx", "A 53668-2022")</f>
        <v/>
      </c>
      <c r="X419">
        <f>HYPERLINK("https://klasma.github.io/Logging_2283/tillsyn/A 53668-2022 tillsynsbegäran.docx", "A 53668-2022")</f>
        <v/>
      </c>
      <c r="Y419">
        <f>HYPERLINK("https://klasma.github.io/Logging_2283/tillsynsmail/A 53668-2022 tillsynsbegäran mail.docx", "A 53668-2022")</f>
        <v/>
      </c>
    </row>
    <row r="420" ht="15" customHeight="1">
      <c r="A420" t="inlineStr">
        <is>
          <t>A 53942-2022</t>
        </is>
      </c>
      <c r="B420" s="1" t="n">
        <v>44880</v>
      </c>
      <c r="C420" s="1" t="n">
        <v>45215</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 artfynd.xlsx", "A 53942-2022")</f>
        <v/>
      </c>
      <c r="T420">
        <f>HYPERLINK("https://klasma.github.io/Logging_2281/kartor/A 53942-2022 karta.png", "A 53942-2022")</f>
        <v/>
      </c>
      <c r="V420">
        <f>HYPERLINK("https://klasma.github.io/Logging_2281/klagomål/A 53942-2022 FSC-klagomål.docx", "A 53942-2022")</f>
        <v/>
      </c>
      <c r="W420">
        <f>HYPERLINK("https://klasma.github.io/Logging_2281/klagomålsmail/A 53942-2022 FSC-klagomål mail.docx", "A 53942-2022")</f>
        <v/>
      </c>
      <c r="X420">
        <f>HYPERLINK("https://klasma.github.io/Logging_2281/tillsyn/A 53942-2022 tillsynsbegäran.docx", "A 53942-2022")</f>
        <v/>
      </c>
      <c r="Y420">
        <f>HYPERLINK("https://klasma.github.io/Logging_2281/tillsynsmail/A 53942-2022 tillsynsbegäran mail.docx", "A 53942-2022")</f>
        <v/>
      </c>
    </row>
    <row r="421" ht="15" customHeight="1">
      <c r="A421" t="inlineStr">
        <is>
          <t>A 55727-2022</t>
        </is>
      </c>
      <c r="B421" s="1" t="n">
        <v>44883</v>
      </c>
      <c r="C421" s="1" t="n">
        <v>45215</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 artfynd.xlsx", "A 55727-2022")</f>
        <v/>
      </c>
      <c r="T421">
        <f>HYPERLINK("https://klasma.github.io/Logging_2283/kartor/A 55727-2022 karta.png", "A 55727-2022")</f>
        <v/>
      </c>
      <c r="V421">
        <f>HYPERLINK("https://klasma.github.io/Logging_2283/klagomål/A 55727-2022 FSC-klagomål.docx", "A 55727-2022")</f>
        <v/>
      </c>
      <c r="W421">
        <f>HYPERLINK("https://klasma.github.io/Logging_2283/klagomålsmail/A 55727-2022 FSC-klagomål mail.docx", "A 55727-2022")</f>
        <v/>
      </c>
      <c r="X421">
        <f>HYPERLINK("https://klasma.github.io/Logging_2283/tillsyn/A 55727-2022 tillsynsbegäran.docx", "A 55727-2022")</f>
        <v/>
      </c>
      <c r="Y421">
        <f>HYPERLINK("https://klasma.github.io/Logging_2283/tillsynsmail/A 55727-2022 tillsynsbegäran mail.docx", "A 55727-2022")</f>
        <v/>
      </c>
    </row>
    <row r="422" ht="15" customHeight="1">
      <c r="A422" t="inlineStr">
        <is>
          <t>A 54822-2022</t>
        </is>
      </c>
      <c r="B422" s="1" t="n">
        <v>44883</v>
      </c>
      <c r="C422" s="1" t="n">
        <v>45215</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 artfynd.xlsx", "A 54822-2022")</f>
        <v/>
      </c>
      <c r="T422">
        <f>HYPERLINK("https://klasma.github.io/Logging_2260/kartor/A 54822-2022 karta.png", "A 54822-2022")</f>
        <v/>
      </c>
      <c r="V422">
        <f>HYPERLINK("https://klasma.github.io/Logging_2260/klagomål/A 54822-2022 FSC-klagomål.docx", "A 54822-2022")</f>
        <v/>
      </c>
      <c r="W422">
        <f>HYPERLINK("https://klasma.github.io/Logging_2260/klagomålsmail/A 54822-2022 FSC-klagomål mail.docx", "A 54822-2022")</f>
        <v/>
      </c>
      <c r="X422">
        <f>HYPERLINK("https://klasma.github.io/Logging_2260/tillsyn/A 54822-2022 tillsynsbegäran.docx", "A 54822-2022")</f>
        <v/>
      </c>
      <c r="Y422">
        <f>HYPERLINK("https://klasma.github.io/Logging_2260/tillsynsmail/A 54822-2022 tillsynsbegäran mail.docx", "A 54822-2022")</f>
        <v/>
      </c>
    </row>
    <row r="423" ht="15" customHeight="1">
      <c r="A423" t="inlineStr">
        <is>
          <t>A 56530-2022</t>
        </is>
      </c>
      <c r="B423" s="1" t="n">
        <v>44893</v>
      </c>
      <c r="C423" s="1" t="n">
        <v>45215</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 artfynd.xlsx", "A 56530-2022")</f>
        <v/>
      </c>
      <c r="T423">
        <f>HYPERLINK("https://klasma.github.io/Logging_2284/kartor/A 56530-2022 karta.png", "A 56530-2022")</f>
        <v/>
      </c>
      <c r="V423">
        <f>HYPERLINK("https://klasma.github.io/Logging_2284/klagomål/A 56530-2022 FSC-klagomål.docx", "A 56530-2022")</f>
        <v/>
      </c>
      <c r="W423">
        <f>HYPERLINK("https://klasma.github.io/Logging_2284/klagomålsmail/A 56530-2022 FSC-klagomål mail.docx", "A 56530-2022")</f>
        <v/>
      </c>
      <c r="X423">
        <f>HYPERLINK("https://klasma.github.io/Logging_2284/tillsyn/A 56530-2022 tillsynsbegäran.docx", "A 56530-2022")</f>
        <v/>
      </c>
      <c r="Y423">
        <f>HYPERLINK("https://klasma.github.io/Logging_2284/tillsynsmail/A 56530-2022 tillsynsbegäran mail.docx", "A 56530-2022")</f>
        <v/>
      </c>
    </row>
    <row r="424" ht="15" customHeight="1">
      <c r="A424" t="inlineStr">
        <is>
          <t>A 58191-2022</t>
        </is>
      </c>
      <c r="B424" s="1" t="n">
        <v>44900</v>
      </c>
      <c r="C424" s="1" t="n">
        <v>45215</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 artfynd.xlsx", "A 58191-2022")</f>
        <v/>
      </c>
      <c r="T424">
        <f>HYPERLINK("https://klasma.github.io/Logging_2281/kartor/A 58191-2022 karta.png", "A 58191-2022")</f>
        <v/>
      </c>
      <c r="U424">
        <f>HYPERLINK("https://klasma.github.io/Logging_2281/knärot/A 58191-2022 karta knärot.png", "A 58191-2022")</f>
        <v/>
      </c>
      <c r="V424">
        <f>HYPERLINK("https://klasma.github.io/Logging_2281/klagomål/A 58191-2022 FSC-klagomål.docx", "A 58191-2022")</f>
        <v/>
      </c>
      <c r="W424">
        <f>HYPERLINK("https://klasma.github.io/Logging_2281/klagomålsmail/A 58191-2022 FSC-klagomål mail.docx", "A 58191-2022")</f>
        <v/>
      </c>
      <c r="X424">
        <f>HYPERLINK("https://klasma.github.io/Logging_2281/tillsyn/A 58191-2022 tillsynsbegäran.docx", "A 58191-2022")</f>
        <v/>
      </c>
      <c r="Y424">
        <f>HYPERLINK("https://klasma.github.io/Logging_2281/tillsynsmail/A 58191-2022 tillsynsbegäran mail.docx", "A 58191-2022")</f>
        <v/>
      </c>
    </row>
    <row r="425" ht="15" customHeight="1">
      <c r="A425" t="inlineStr">
        <is>
          <t>A 59046-2022</t>
        </is>
      </c>
      <c r="B425" s="1" t="n">
        <v>44903</v>
      </c>
      <c r="C425" s="1" t="n">
        <v>45215</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 artfynd.xlsx", "A 59046-2022")</f>
        <v/>
      </c>
      <c r="T425">
        <f>HYPERLINK("https://klasma.github.io/Logging_2283/kartor/A 59046-2022 karta.png", "A 59046-2022")</f>
        <v/>
      </c>
      <c r="V425">
        <f>HYPERLINK("https://klasma.github.io/Logging_2283/klagomål/A 59046-2022 FSC-klagomål.docx", "A 59046-2022")</f>
        <v/>
      </c>
      <c r="W425">
        <f>HYPERLINK("https://klasma.github.io/Logging_2283/klagomålsmail/A 59046-2022 FSC-klagomål mail.docx", "A 59046-2022")</f>
        <v/>
      </c>
      <c r="X425">
        <f>HYPERLINK("https://klasma.github.io/Logging_2283/tillsyn/A 59046-2022 tillsynsbegäran.docx", "A 59046-2022")</f>
        <v/>
      </c>
      <c r="Y425">
        <f>HYPERLINK("https://klasma.github.io/Logging_2283/tillsynsmail/A 59046-2022 tillsynsbegäran mail.docx", "A 59046-2022")</f>
        <v/>
      </c>
    </row>
    <row r="426" ht="15" customHeight="1">
      <c r="A426" t="inlineStr">
        <is>
          <t>A 61377-2022</t>
        </is>
      </c>
      <c r="B426" s="1" t="n">
        <v>44915</v>
      </c>
      <c r="C426" s="1" t="n">
        <v>45215</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 artfynd.xlsx", "A 61377-2022")</f>
        <v/>
      </c>
      <c r="T426">
        <f>HYPERLINK("https://klasma.github.io/Logging_2283/kartor/A 61377-2022 karta.png", "A 61377-2022")</f>
        <v/>
      </c>
      <c r="V426">
        <f>HYPERLINK("https://klasma.github.io/Logging_2283/klagomål/A 61377-2022 FSC-klagomål.docx", "A 61377-2022")</f>
        <v/>
      </c>
      <c r="W426">
        <f>HYPERLINK("https://klasma.github.io/Logging_2283/klagomålsmail/A 61377-2022 FSC-klagomål mail.docx", "A 61377-2022")</f>
        <v/>
      </c>
      <c r="X426">
        <f>HYPERLINK("https://klasma.github.io/Logging_2283/tillsyn/A 61377-2022 tillsynsbegäran.docx", "A 61377-2022")</f>
        <v/>
      </c>
      <c r="Y426">
        <f>HYPERLINK("https://klasma.github.io/Logging_2283/tillsynsmail/A 61377-2022 tillsynsbegäran mail.docx", "A 61377-2022")</f>
        <v/>
      </c>
    </row>
    <row r="427" ht="15" customHeight="1">
      <c r="A427" t="inlineStr">
        <is>
          <t>A 3017-2023</t>
        </is>
      </c>
      <c r="B427" s="1" t="n">
        <v>44945</v>
      </c>
      <c r="C427" s="1" t="n">
        <v>45215</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 artfynd.xlsx", "A 3017-2023")</f>
        <v/>
      </c>
      <c r="T427">
        <f>HYPERLINK("https://klasma.github.io/Logging_2283/kartor/A 3017-2023 karta.png", "A 3017-2023")</f>
        <v/>
      </c>
      <c r="V427">
        <f>HYPERLINK("https://klasma.github.io/Logging_2283/klagomål/A 3017-2023 FSC-klagomål.docx", "A 3017-2023")</f>
        <v/>
      </c>
      <c r="W427">
        <f>HYPERLINK("https://klasma.github.io/Logging_2283/klagomålsmail/A 3017-2023 FSC-klagomål mail.docx", "A 3017-2023")</f>
        <v/>
      </c>
      <c r="X427">
        <f>HYPERLINK("https://klasma.github.io/Logging_2283/tillsyn/A 3017-2023 tillsynsbegäran.docx", "A 3017-2023")</f>
        <v/>
      </c>
      <c r="Y427">
        <f>HYPERLINK("https://klasma.github.io/Logging_2283/tillsynsmail/A 3017-2023 tillsynsbegäran mail.docx", "A 3017-2023")</f>
        <v/>
      </c>
    </row>
    <row r="428" ht="15" customHeight="1">
      <c r="A428" t="inlineStr">
        <is>
          <t>A 4455-2023</t>
        </is>
      </c>
      <c r="B428" s="1" t="n">
        <v>44956</v>
      </c>
      <c r="C428" s="1" t="n">
        <v>45215</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 artfynd.xlsx", "A 4455-2023")</f>
        <v/>
      </c>
      <c r="T428">
        <f>HYPERLINK("https://klasma.github.io/Logging_2284/kartor/A 4455-2023 karta.png", "A 4455-2023")</f>
        <v/>
      </c>
      <c r="V428">
        <f>HYPERLINK("https://klasma.github.io/Logging_2284/klagomål/A 4455-2023 FSC-klagomål.docx", "A 4455-2023")</f>
        <v/>
      </c>
      <c r="W428">
        <f>HYPERLINK("https://klasma.github.io/Logging_2284/klagomålsmail/A 4455-2023 FSC-klagomål mail.docx", "A 4455-2023")</f>
        <v/>
      </c>
      <c r="X428">
        <f>HYPERLINK("https://klasma.github.io/Logging_2284/tillsyn/A 4455-2023 tillsynsbegäran.docx", "A 4455-2023")</f>
        <v/>
      </c>
      <c r="Y428">
        <f>HYPERLINK("https://klasma.github.io/Logging_2284/tillsynsmail/A 4455-2023 tillsynsbegäran mail.docx", "A 4455-2023")</f>
        <v/>
      </c>
    </row>
    <row r="429" ht="15" customHeight="1">
      <c r="A429" t="inlineStr">
        <is>
          <t>A 8669-2023</t>
        </is>
      </c>
      <c r="B429" s="1" t="n">
        <v>44977</v>
      </c>
      <c r="C429" s="1" t="n">
        <v>45215</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 artfynd.xlsx", "A 8669-2023")</f>
        <v/>
      </c>
      <c r="T429">
        <f>HYPERLINK("https://klasma.github.io/Logging_2283/kartor/A 8669-2023 karta.png", "A 8669-2023")</f>
        <v/>
      </c>
      <c r="V429">
        <f>HYPERLINK("https://klasma.github.io/Logging_2283/klagomål/A 8669-2023 FSC-klagomål.docx", "A 8669-2023")</f>
        <v/>
      </c>
      <c r="W429">
        <f>HYPERLINK("https://klasma.github.io/Logging_2283/klagomålsmail/A 8669-2023 FSC-klagomål mail.docx", "A 8669-2023")</f>
        <v/>
      </c>
      <c r="X429">
        <f>HYPERLINK("https://klasma.github.io/Logging_2283/tillsyn/A 8669-2023 tillsynsbegäran.docx", "A 8669-2023")</f>
        <v/>
      </c>
      <c r="Y429">
        <f>HYPERLINK("https://klasma.github.io/Logging_2283/tillsynsmail/A 8669-2023 tillsynsbegäran mail.docx", "A 8669-2023")</f>
        <v/>
      </c>
    </row>
    <row r="430" ht="15" customHeight="1">
      <c r="A430" t="inlineStr">
        <is>
          <t>A 11332-2023</t>
        </is>
      </c>
      <c r="B430" s="1" t="n">
        <v>44988</v>
      </c>
      <c r="C430" s="1" t="n">
        <v>45215</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 artfynd.xlsx", "A 11332-2023")</f>
        <v/>
      </c>
      <c r="T430">
        <f>HYPERLINK("https://klasma.github.io/Logging_2284/kartor/A 11332-2023 karta.png", "A 11332-2023")</f>
        <v/>
      </c>
      <c r="V430">
        <f>HYPERLINK("https://klasma.github.io/Logging_2284/klagomål/A 11332-2023 FSC-klagomål.docx", "A 11332-2023")</f>
        <v/>
      </c>
      <c r="W430">
        <f>HYPERLINK("https://klasma.github.io/Logging_2284/klagomålsmail/A 11332-2023 FSC-klagomål mail.docx", "A 11332-2023")</f>
        <v/>
      </c>
      <c r="X430">
        <f>HYPERLINK("https://klasma.github.io/Logging_2284/tillsyn/A 11332-2023 tillsynsbegäran.docx", "A 11332-2023")</f>
        <v/>
      </c>
      <c r="Y430">
        <f>HYPERLINK("https://klasma.github.io/Logging_2284/tillsynsmail/A 11332-2023 tillsynsbegäran mail.docx", "A 11332-2023")</f>
        <v/>
      </c>
    </row>
    <row r="431" ht="15" customHeight="1">
      <c r="A431" t="inlineStr">
        <is>
          <t>A 11060-2023</t>
        </is>
      </c>
      <c r="B431" s="1" t="n">
        <v>44991</v>
      </c>
      <c r="C431" s="1" t="n">
        <v>45215</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 artfynd.xlsx", "A 11060-2023")</f>
        <v/>
      </c>
      <c r="T431">
        <f>HYPERLINK("https://klasma.github.io/Logging_2284/kartor/A 11060-2023 karta.png", "A 11060-2023")</f>
        <v/>
      </c>
      <c r="V431">
        <f>HYPERLINK("https://klasma.github.io/Logging_2284/klagomål/A 11060-2023 FSC-klagomål.docx", "A 11060-2023")</f>
        <v/>
      </c>
      <c r="W431">
        <f>HYPERLINK("https://klasma.github.io/Logging_2284/klagomålsmail/A 11060-2023 FSC-klagomål mail.docx", "A 11060-2023")</f>
        <v/>
      </c>
      <c r="X431">
        <f>HYPERLINK("https://klasma.github.io/Logging_2284/tillsyn/A 11060-2023 tillsynsbegäran.docx", "A 11060-2023")</f>
        <v/>
      </c>
      <c r="Y431">
        <f>HYPERLINK("https://klasma.github.io/Logging_2284/tillsynsmail/A 11060-2023 tillsynsbegäran mail.docx", "A 11060-2023")</f>
        <v/>
      </c>
    </row>
    <row r="432" ht="15" customHeight="1">
      <c r="A432" t="inlineStr">
        <is>
          <t>A 16181-2023</t>
        </is>
      </c>
      <c r="B432" s="1" t="n">
        <v>45027</v>
      </c>
      <c r="C432" s="1" t="n">
        <v>45215</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 artfynd.xlsx", "A 16181-2023")</f>
        <v/>
      </c>
      <c r="T432">
        <f>HYPERLINK("https://klasma.github.io/Logging_2280/kartor/A 16181-2023 karta.png", "A 16181-2023")</f>
        <v/>
      </c>
      <c r="V432">
        <f>HYPERLINK("https://klasma.github.io/Logging_2280/klagomål/A 16181-2023 FSC-klagomål.docx", "A 16181-2023")</f>
        <v/>
      </c>
      <c r="W432">
        <f>HYPERLINK("https://klasma.github.io/Logging_2280/klagomålsmail/A 16181-2023 FSC-klagomål mail.docx", "A 16181-2023")</f>
        <v/>
      </c>
      <c r="X432">
        <f>HYPERLINK("https://klasma.github.io/Logging_2280/tillsyn/A 16181-2023 tillsynsbegäran.docx", "A 16181-2023")</f>
        <v/>
      </c>
      <c r="Y432">
        <f>HYPERLINK("https://klasma.github.io/Logging_2280/tillsynsmail/A 16181-2023 tillsynsbegäran mail.docx", "A 16181-2023")</f>
        <v/>
      </c>
    </row>
    <row r="433" ht="15" customHeight="1">
      <c r="A433" t="inlineStr">
        <is>
          <t>A 18991-2023</t>
        </is>
      </c>
      <c r="B433" s="1" t="n">
        <v>45044</v>
      </c>
      <c r="C433" s="1" t="n">
        <v>45215</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 artfynd.xlsx", "A 18991-2023")</f>
        <v/>
      </c>
      <c r="T433">
        <f>HYPERLINK("https://klasma.github.io/Logging_2281/kartor/A 18991-2023 karta.png", "A 18991-2023")</f>
        <v/>
      </c>
      <c r="V433">
        <f>HYPERLINK("https://klasma.github.io/Logging_2281/klagomål/A 18991-2023 FSC-klagomål.docx", "A 18991-2023")</f>
        <v/>
      </c>
      <c r="W433">
        <f>HYPERLINK("https://klasma.github.io/Logging_2281/klagomålsmail/A 18991-2023 FSC-klagomål mail.docx", "A 18991-2023")</f>
        <v/>
      </c>
      <c r="X433">
        <f>HYPERLINK("https://klasma.github.io/Logging_2281/tillsyn/A 18991-2023 tillsynsbegäran.docx", "A 18991-2023")</f>
        <v/>
      </c>
      <c r="Y433">
        <f>HYPERLINK("https://klasma.github.io/Logging_2281/tillsynsmail/A 18991-2023 tillsynsbegäran mail.docx", "A 18991-2023")</f>
        <v/>
      </c>
    </row>
    <row r="434" ht="15" customHeight="1">
      <c r="A434" t="inlineStr">
        <is>
          <t>A 18998-2023</t>
        </is>
      </c>
      <c r="B434" s="1" t="n">
        <v>45044</v>
      </c>
      <c r="C434" s="1" t="n">
        <v>45215</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 artfynd.xlsx", "A 18998-2023")</f>
        <v/>
      </c>
      <c r="T434">
        <f>HYPERLINK("https://klasma.github.io/Logging_2281/kartor/A 18998-2023 karta.png", "A 18998-2023")</f>
        <v/>
      </c>
      <c r="U434">
        <f>HYPERLINK("https://klasma.github.io/Logging_2281/knärot/A 18998-2023 karta knärot.png", "A 18998-2023")</f>
        <v/>
      </c>
      <c r="V434">
        <f>HYPERLINK("https://klasma.github.io/Logging_2281/klagomål/A 18998-2023 FSC-klagomål.docx", "A 18998-2023")</f>
        <v/>
      </c>
      <c r="W434">
        <f>HYPERLINK("https://klasma.github.io/Logging_2281/klagomålsmail/A 18998-2023 FSC-klagomål mail.docx", "A 18998-2023")</f>
        <v/>
      </c>
      <c r="X434">
        <f>HYPERLINK("https://klasma.github.io/Logging_2281/tillsyn/A 18998-2023 tillsynsbegäran.docx", "A 18998-2023")</f>
        <v/>
      </c>
      <c r="Y434">
        <f>HYPERLINK("https://klasma.github.io/Logging_2281/tillsynsmail/A 18998-2023 tillsynsbegäran mail.docx", "A 18998-2023")</f>
        <v/>
      </c>
    </row>
    <row r="435" ht="15" customHeight="1">
      <c r="A435" t="inlineStr">
        <is>
          <t>A 19432-2023</t>
        </is>
      </c>
      <c r="B435" s="1" t="n">
        <v>45049</v>
      </c>
      <c r="C435" s="1" t="n">
        <v>45215</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 artfynd.xlsx", "A 19432-2023")</f>
        <v/>
      </c>
      <c r="T435">
        <f>HYPERLINK("https://klasma.github.io/Logging_2280/kartor/A 19432-2023 karta.png", "A 19432-2023")</f>
        <v/>
      </c>
      <c r="V435">
        <f>HYPERLINK("https://klasma.github.io/Logging_2280/klagomål/A 19432-2023 FSC-klagomål.docx", "A 19432-2023")</f>
        <v/>
      </c>
      <c r="W435">
        <f>HYPERLINK("https://klasma.github.io/Logging_2280/klagomålsmail/A 19432-2023 FSC-klagomål mail.docx", "A 19432-2023")</f>
        <v/>
      </c>
      <c r="X435">
        <f>HYPERLINK("https://klasma.github.io/Logging_2280/tillsyn/A 19432-2023 tillsynsbegäran.docx", "A 19432-2023")</f>
        <v/>
      </c>
      <c r="Y435">
        <f>HYPERLINK("https://klasma.github.io/Logging_2280/tillsynsmail/A 19432-2023 tillsynsbegäran mail.docx", "A 19432-2023")</f>
        <v/>
      </c>
    </row>
    <row r="436" ht="15" customHeight="1">
      <c r="A436" t="inlineStr">
        <is>
          <t>A 20888-2023</t>
        </is>
      </c>
      <c r="B436" s="1" t="n">
        <v>45058</v>
      </c>
      <c r="C436" s="1" t="n">
        <v>45215</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 artfynd.xlsx", "A 20888-2023")</f>
        <v/>
      </c>
      <c r="T436">
        <f>HYPERLINK("https://klasma.github.io/Logging_2281/kartor/A 20888-2023 karta.png", "A 20888-2023")</f>
        <v/>
      </c>
      <c r="V436">
        <f>HYPERLINK("https://klasma.github.io/Logging_2281/klagomål/A 20888-2023 FSC-klagomål.docx", "A 20888-2023")</f>
        <v/>
      </c>
      <c r="W436">
        <f>HYPERLINK("https://klasma.github.io/Logging_2281/klagomålsmail/A 20888-2023 FSC-klagomål mail.docx", "A 20888-2023")</f>
        <v/>
      </c>
      <c r="X436">
        <f>HYPERLINK("https://klasma.github.io/Logging_2281/tillsyn/A 20888-2023 tillsynsbegäran.docx", "A 20888-2023")</f>
        <v/>
      </c>
      <c r="Y436">
        <f>HYPERLINK("https://klasma.github.io/Logging_2281/tillsynsmail/A 20888-2023 tillsynsbegäran mail.docx", "A 20888-2023")</f>
        <v/>
      </c>
    </row>
    <row r="437" ht="15" customHeight="1">
      <c r="A437" t="inlineStr">
        <is>
          <t>A 23521-2023</t>
        </is>
      </c>
      <c r="B437" s="1" t="n">
        <v>45076</v>
      </c>
      <c r="C437" s="1" t="n">
        <v>45215</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 artfynd.xlsx", "A 23521-2023")</f>
        <v/>
      </c>
      <c r="T437">
        <f>HYPERLINK("https://klasma.github.io/Logging_2260/kartor/A 23521-2023 karta.png", "A 23521-2023")</f>
        <v/>
      </c>
      <c r="V437">
        <f>HYPERLINK("https://klasma.github.io/Logging_2260/klagomål/A 23521-2023 FSC-klagomål.docx", "A 23521-2023")</f>
        <v/>
      </c>
      <c r="W437">
        <f>HYPERLINK("https://klasma.github.io/Logging_2260/klagomålsmail/A 23521-2023 FSC-klagomål mail.docx", "A 23521-2023")</f>
        <v/>
      </c>
      <c r="X437">
        <f>HYPERLINK("https://klasma.github.io/Logging_2260/tillsyn/A 23521-2023 tillsynsbegäran.docx", "A 23521-2023")</f>
        <v/>
      </c>
      <c r="Y437">
        <f>HYPERLINK("https://klasma.github.io/Logging_2260/tillsynsmail/A 23521-2023 tillsynsbegäran mail.docx", "A 23521-2023")</f>
        <v/>
      </c>
    </row>
    <row r="438" ht="15" customHeight="1">
      <c r="A438" t="inlineStr">
        <is>
          <t>A 24539-2023</t>
        </is>
      </c>
      <c r="B438" s="1" t="n">
        <v>45082</v>
      </c>
      <c r="C438" s="1" t="n">
        <v>45215</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 artfynd.xlsx", "A 24539-2023")</f>
        <v/>
      </c>
      <c r="T438">
        <f>HYPERLINK("https://klasma.github.io/Logging_2262/kartor/A 24539-2023 karta.png", "A 24539-2023")</f>
        <v/>
      </c>
      <c r="U438">
        <f>HYPERLINK("https://klasma.github.io/Logging_2262/knärot/A 24539-2023 karta knärot.png", "A 24539-2023")</f>
        <v/>
      </c>
      <c r="V438">
        <f>HYPERLINK("https://klasma.github.io/Logging_2262/klagomål/A 24539-2023 FSC-klagomål.docx", "A 24539-2023")</f>
        <v/>
      </c>
      <c r="W438">
        <f>HYPERLINK("https://klasma.github.io/Logging_2262/klagomålsmail/A 24539-2023 FSC-klagomål mail.docx", "A 24539-2023")</f>
        <v/>
      </c>
      <c r="X438">
        <f>HYPERLINK("https://klasma.github.io/Logging_2262/tillsyn/A 24539-2023 tillsynsbegäran.docx", "A 24539-2023")</f>
        <v/>
      </c>
      <c r="Y438">
        <f>HYPERLINK("https://klasma.github.io/Logging_2262/tillsynsmail/A 24539-2023 tillsynsbegäran mail.docx", "A 24539-2023")</f>
        <v/>
      </c>
    </row>
    <row r="439" ht="15" customHeight="1">
      <c r="A439" t="inlineStr">
        <is>
          <t>A 27385-2023</t>
        </is>
      </c>
      <c r="B439" s="1" t="n">
        <v>45096</v>
      </c>
      <c r="C439" s="1" t="n">
        <v>45215</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 artfynd.xlsx", "A 27385-2023")</f>
        <v/>
      </c>
      <c r="T439">
        <f>HYPERLINK("https://klasma.github.io/Logging_2281/kartor/A 27385-2023 karta.png", "A 27385-2023")</f>
        <v/>
      </c>
      <c r="V439">
        <f>HYPERLINK("https://klasma.github.io/Logging_2281/klagomål/A 27385-2023 FSC-klagomål.docx", "A 27385-2023")</f>
        <v/>
      </c>
      <c r="W439">
        <f>HYPERLINK("https://klasma.github.io/Logging_2281/klagomålsmail/A 27385-2023 FSC-klagomål mail.docx", "A 27385-2023")</f>
        <v/>
      </c>
      <c r="X439">
        <f>HYPERLINK("https://klasma.github.io/Logging_2281/tillsyn/A 27385-2023 tillsynsbegäran.docx", "A 27385-2023")</f>
        <v/>
      </c>
      <c r="Y439">
        <f>HYPERLINK("https://klasma.github.io/Logging_2281/tillsynsmail/A 27385-2023 tillsynsbegäran mail.docx", "A 27385-2023")</f>
        <v/>
      </c>
    </row>
    <row r="440" ht="15" customHeight="1">
      <c r="A440" t="inlineStr">
        <is>
          <t>A 27380-2023</t>
        </is>
      </c>
      <c r="B440" s="1" t="n">
        <v>45096</v>
      </c>
      <c r="C440" s="1" t="n">
        <v>45215</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 artfynd.xlsx", "A 27380-2023")</f>
        <v/>
      </c>
      <c r="T440">
        <f>HYPERLINK("https://klasma.github.io/Logging_2281/kartor/A 27380-2023 karta.png", "A 27380-2023")</f>
        <v/>
      </c>
      <c r="V440">
        <f>HYPERLINK("https://klasma.github.io/Logging_2281/klagomål/A 27380-2023 FSC-klagomål.docx", "A 27380-2023")</f>
        <v/>
      </c>
      <c r="W440">
        <f>HYPERLINK("https://klasma.github.io/Logging_2281/klagomålsmail/A 27380-2023 FSC-klagomål mail.docx", "A 27380-2023")</f>
        <v/>
      </c>
      <c r="X440">
        <f>HYPERLINK("https://klasma.github.io/Logging_2281/tillsyn/A 27380-2023 tillsynsbegäran.docx", "A 27380-2023")</f>
        <v/>
      </c>
      <c r="Y440">
        <f>HYPERLINK("https://klasma.github.io/Logging_2281/tillsynsmail/A 27380-2023 tillsynsbegäran mail.docx", "A 27380-2023")</f>
        <v/>
      </c>
    </row>
    <row r="441" ht="15" customHeight="1">
      <c r="A441" t="inlineStr">
        <is>
          <t>A 28010-2023</t>
        </is>
      </c>
      <c r="B441" s="1" t="n">
        <v>45098</v>
      </c>
      <c r="C441" s="1" t="n">
        <v>45215</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 artfynd.xlsx", "A 28010-2023")</f>
        <v/>
      </c>
      <c r="T441">
        <f>HYPERLINK("https://klasma.github.io/Logging_2281/kartor/A 28010-2023 karta.png", "A 28010-2023")</f>
        <v/>
      </c>
      <c r="V441">
        <f>HYPERLINK("https://klasma.github.io/Logging_2281/klagomål/A 28010-2023 FSC-klagomål.docx", "A 28010-2023")</f>
        <v/>
      </c>
      <c r="W441">
        <f>HYPERLINK("https://klasma.github.io/Logging_2281/klagomålsmail/A 28010-2023 FSC-klagomål mail.docx", "A 28010-2023")</f>
        <v/>
      </c>
      <c r="X441">
        <f>HYPERLINK("https://klasma.github.io/Logging_2281/tillsyn/A 28010-2023 tillsynsbegäran.docx", "A 28010-2023")</f>
        <v/>
      </c>
      <c r="Y441">
        <f>HYPERLINK("https://klasma.github.io/Logging_2281/tillsynsmail/A 28010-2023 tillsynsbegäran mail.docx", "A 28010-2023")</f>
        <v/>
      </c>
    </row>
    <row r="442" ht="15" customHeight="1">
      <c r="A442" t="inlineStr">
        <is>
          <t>A 29325-2023</t>
        </is>
      </c>
      <c r="B442" s="1" t="n">
        <v>45105</v>
      </c>
      <c r="C442" s="1" t="n">
        <v>45215</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 artfynd.xlsx", "A 29325-2023")</f>
        <v/>
      </c>
      <c r="T442">
        <f>HYPERLINK("https://klasma.github.io/Logging_2260/kartor/A 29325-2023 karta.png", "A 29325-2023")</f>
        <v/>
      </c>
      <c r="V442">
        <f>HYPERLINK("https://klasma.github.io/Logging_2260/klagomål/A 29325-2023 FSC-klagomål.docx", "A 29325-2023")</f>
        <v/>
      </c>
      <c r="W442">
        <f>HYPERLINK("https://klasma.github.io/Logging_2260/klagomålsmail/A 29325-2023 FSC-klagomål mail.docx", "A 29325-2023")</f>
        <v/>
      </c>
      <c r="X442">
        <f>HYPERLINK("https://klasma.github.io/Logging_2260/tillsyn/A 29325-2023 tillsynsbegäran.docx", "A 29325-2023")</f>
        <v/>
      </c>
      <c r="Y442">
        <f>HYPERLINK("https://klasma.github.io/Logging_2260/tillsynsmail/A 29325-2023 tillsynsbegäran mail.docx", "A 29325-2023")</f>
        <v/>
      </c>
    </row>
    <row r="443" ht="15" customHeight="1">
      <c r="A443" t="inlineStr">
        <is>
          <t>A 31417-2023</t>
        </is>
      </c>
      <c r="B443" s="1" t="n">
        <v>45114</v>
      </c>
      <c r="C443" s="1" t="n">
        <v>45215</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 artfynd.xlsx", "A 31417-2023")</f>
        <v/>
      </c>
      <c r="T443">
        <f>HYPERLINK("https://klasma.github.io/Logging_2282/kartor/A 31417-2023 karta.png", "A 31417-2023")</f>
        <v/>
      </c>
      <c r="V443">
        <f>HYPERLINK("https://klasma.github.io/Logging_2282/klagomål/A 31417-2023 FSC-klagomål.docx", "A 31417-2023")</f>
        <v/>
      </c>
      <c r="W443">
        <f>HYPERLINK("https://klasma.github.io/Logging_2282/klagomålsmail/A 31417-2023 FSC-klagomål mail.docx", "A 31417-2023")</f>
        <v/>
      </c>
      <c r="X443">
        <f>HYPERLINK("https://klasma.github.io/Logging_2282/tillsyn/A 31417-2023 tillsynsbegäran.docx", "A 31417-2023")</f>
        <v/>
      </c>
      <c r="Y443">
        <f>HYPERLINK("https://klasma.github.io/Logging_2282/tillsynsmail/A 31417-2023 tillsynsbegäran mail.docx", "A 31417-2023")</f>
        <v/>
      </c>
    </row>
    <row r="444" ht="15" customHeight="1">
      <c r="A444" t="inlineStr">
        <is>
          <t>A 33210-2023</t>
        </is>
      </c>
      <c r="B444" s="1" t="n">
        <v>45114</v>
      </c>
      <c r="C444" s="1" t="n">
        <v>45215</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 artfynd.xlsx", "A 33210-2023")</f>
        <v/>
      </c>
      <c r="T444">
        <f>HYPERLINK("https://klasma.github.io/Logging_2282/kartor/A 33210-2023 karta.png", "A 33210-2023")</f>
        <v/>
      </c>
      <c r="V444">
        <f>HYPERLINK("https://klasma.github.io/Logging_2282/klagomål/A 33210-2023 FSC-klagomål.docx", "A 33210-2023")</f>
        <v/>
      </c>
      <c r="W444">
        <f>HYPERLINK("https://klasma.github.io/Logging_2282/klagomålsmail/A 33210-2023 FSC-klagomål mail.docx", "A 33210-2023")</f>
        <v/>
      </c>
      <c r="X444">
        <f>HYPERLINK("https://klasma.github.io/Logging_2282/tillsyn/A 33210-2023 tillsynsbegäran.docx", "A 33210-2023")</f>
        <v/>
      </c>
      <c r="Y444">
        <f>HYPERLINK("https://klasma.github.io/Logging_2282/tillsynsmail/A 33210-2023 tillsynsbegäran mail.docx", "A 33210-2023")</f>
        <v/>
      </c>
    </row>
    <row r="445" ht="15" customHeight="1">
      <c r="A445" t="inlineStr">
        <is>
          <t>A 32494-2023</t>
        </is>
      </c>
      <c r="B445" s="1" t="n">
        <v>45121</v>
      </c>
      <c r="C445" s="1" t="n">
        <v>45215</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 artfynd.xlsx", "A 32494-2023")</f>
        <v/>
      </c>
      <c r="T445">
        <f>HYPERLINK("https://klasma.github.io/Logging_2260/kartor/A 32494-2023 karta.png", "A 32494-2023")</f>
        <v/>
      </c>
      <c r="V445">
        <f>HYPERLINK("https://klasma.github.io/Logging_2260/klagomål/A 32494-2023 FSC-klagomål.docx", "A 32494-2023")</f>
        <v/>
      </c>
      <c r="W445">
        <f>HYPERLINK("https://klasma.github.io/Logging_2260/klagomålsmail/A 32494-2023 FSC-klagomål mail.docx", "A 32494-2023")</f>
        <v/>
      </c>
      <c r="X445">
        <f>HYPERLINK("https://klasma.github.io/Logging_2260/tillsyn/A 32494-2023 tillsynsbegäran.docx", "A 32494-2023")</f>
        <v/>
      </c>
      <c r="Y445">
        <f>HYPERLINK("https://klasma.github.io/Logging_2260/tillsynsmail/A 32494-2023 tillsynsbegäran mail.docx", "A 32494-2023")</f>
        <v/>
      </c>
    </row>
    <row r="446" ht="15" customHeight="1">
      <c r="A446" t="inlineStr">
        <is>
          <t>A 32559-2023</t>
        </is>
      </c>
      <c r="B446" s="1" t="n">
        <v>45121</v>
      </c>
      <c r="C446" s="1" t="n">
        <v>45215</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 artfynd.xlsx", "A 32559-2023")</f>
        <v/>
      </c>
      <c r="T446">
        <f>HYPERLINK("https://klasma.github.io/Logging_2260/kartor/A 32559-2023 karta.png", "A 32559-2023")</f>
        <v/>
      </c>
      <c r="V446">
        <f>HYPERLINK("https://klasma.github.io/Logging_2260/klagomål/A 32559-2023 FSC-klagomål.docx", "A 32559-2023")</f>
        <v/>
      </c>
      <c r="W446">
        <f>HYPERLINK("https://klasma.github.io/Logging_2260/klagomålsmail/A 32559-2023 FSC-klagomål mail.docx", "A 32559-2023")</f>
        <v/>
      </c>
      <c r="X446">
        <f>HYPERLINK("https://klasma.github.io/Logging_2260/tillsyn/A 32559-2023 tillsynsbegäran.docx", "A 32559-2023")</f>
        <v/>
      </c>
      <c r="Y446">
        <f>HYPERLINK("https://klasma.github.io/Logging_2260/tillsynsmail/A 32559-2023 tillsynsbegäran mail.docx", "A 32559-2023")</f>
        <v/>
      </c>
    </row>
    <row r="447" ht="15" customHeight="1">
      <c r="A447" t="inlineStr">
        <is>
          <t>A 33036-2023</t>
        </is>
      </c>
      <c r="B447" s="1" t="n">
        <v>45125</v>
      </c>
      <c r="C447" s="1" t="n">
        <v>45215</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 artfynd.xlsx", "A 33036-2023")</f>
        <v/>
      </c>
      <c r="T447">
        <f>HYPERLINK("https://klasma.github.io/Logging_2283/kartor/A 33036-2023 karta.png", "A 33036-2023")</f>
        <v/>
      </c>
      <c r="V447">
        <f>HYPERLINK("https://klasma.github.io/Logging_2283/klagomål/A 33036-2023 FSC-klagomål.docx", "A 33036-2023")</f>
        <v/>
      </c>
      <c r="W447">
        <f>HYPERLINK("https://klasma.github.io/Logging_2283/klagomålsmail/A 33036-2023 FSC-klagomål mail.docx", "A 33036-2023")</f>
        <v/>
      </c>
      <c r="X447">
        <f>HYPERLINK("https://klasma.github.io/Logging_2283/tillsyn/A 33036-2023 tillsynsbegäran.docx", "A 33036-2023")</f>
        <v/>
      </c>
      <c r="Y447">
        <f>HYPERLINK("https://klasma.github.io/Logging_2283/tillsynsmail/A 33036-2023 tillsynsbegäran mail.docx", "A 33036-2023")</f>
        <v/>
      </c>
    </row>
    <row r="448" ht="15" customHeight="1">
      <c r="A448" t="inlineStr">
        <is>
          <t>A 35003-2023</t>
        </is>
      </c>
      <c r="B448" s="1" t="n">
        <v>45142</v>
      </c>
      <c r="C448" s="1" t="n">
        <v>45215</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 artfynd.xlsx", "A 35003-2023")</f>
        <v/>
      </c>
      <c r="T448">
        <f>HYPERLINK("https://klasma.github.io/Logging_2262/kartor/A 35003-2023 karta.png", "A 35003-2023")</f>
        <v/>
      </c>
      <c r="V448">
        <f>HYPERLINK("https://klasma.github.io/Logging_2262/klagomål/A 35003-2023 FSC-klagomål.docx", "A 35003-2023")</f>
        <v/>
      </c>
      <c r="W448">
        <f>HYPERLINK("https://klasma.github.io/Logging_2262/klagomålsmail/A 35003-2023 FSC-klagomål mail.docx", "A 35003-2023")</f>
        <v/>
      </c>
      <c r="X448">
        <f>HYPERLINK("https://klasma.github.io/Logging_2262/tillsyn/A 35003-2023 tillsynsbegäran.docx", "A 35003-2023")</f>
        <v/>
      </c>
      <c r="Y448">
        <f>HYPERLINK("https://klasma.github.io/Logging_2262/tillsynsmail/A 35003-2023 tillsynsbegäran mail.docx", "A 35003-2023")</f>
        <v/>
      </c>
    </row>
    <row r="449" ht="15" customHeight="1">
      <c r="A449" t="inlineStr">
        <is>
          <t>A 35587-2023</t>
        </is>
      </c>
      <c r="B449" s="1" t="n">
        <v>45147</v>
      </c>
      <c r="C449" s="1" t="n">
        <v>45215</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 artfynd.xlsx", "A 35587-2023")</f>
        <v/>
      </c>
      <c r="T449">
        <f>HYPERLINK("https://klasma.github.io/Logging_2283/kartor/A 35587-2023 karta.png", "A 35587-2023")</f>
        <v/>
      </c>
      <c r="V449">
        <f>HYPERLINK("https://klasma.github.io/Logging_2283/klagomål/A 35587-2023 FSC-klagomål.docx", "A 35587-2023")</f>
        <v/>
      </c>
      <c r="W449">
        <f>HYPERLINK("https://klasma.github.io/Logging_2283/klagomålsmail/A 35587-2023 FSC-klagomål mail.docx", "A 35587-2023")</f>
        <v/>
      </c>
      <c r="X449">
        <f>HYPERLINK("https://klasma.github.io/Logging_2283/tillsyn/A 35587-2023 tillsynsbegäran.docx", "A 35587-2023")</f>
        <v/>
      </c>
      <c r="Y449">
        <f>HYPERLINK("https://klasma.github.io/Logging_2283/tillsynsmail/A 35587-2023 tillsynsbegäran mail.docx", "A 35587-2023")</f>
        <v/>
      </c>
    </row>
    <row r="450" ht="15" customHeight="1">
      <c r="A450" t="inlineStr">
        <is>
          <t>A 38977-2023</t>
        </is>
      </c>
      <c r="B450" s="1" t="n">
        <v>45161</v>
      </c>
      <c r="C450" s="1" t="n">
        <v>45215</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 artfynd.xlsx", "A 38977-2023")</f>
        <v/>
      </c>
      <c r="T450">
        <f>HYPERLINK("https://klasma.github.io/Logging_2282/kartor/A 38977-2023 karta.png", "A 38977-2023")</f>
        <v/>
      </c>
      <c r="V450">
        <f>HYPERLINK("https://klasma.github.io/Logging_2282/klagomål/A 38977-2023 FSC-klagomål.docx", "A 38977-2023")</f>
        <v/>
      </c>
      <c r="W450">
        <f>HYPERLINK("https://klasma.github.io/Logging_2282/klagomålsmail/A 38977-2023 FSC-klagomål mail.docx", "A 38977-2023")</f>
        <v/>
      </c>
      <c r="X450">
        <f>HYPERLINK("https://klasma.github.io/Logging_2282/tillsyn/A 38977-2023 tillsynsbegäran.docx", "A 38977-2023")</f>
        <v/>
      </c>
      <c r="Y450">
        <f>HYPERLINK("https://klasma.github.io/Logging_2282/tillsynsmail/A 38977-2023 tillsynsbegäran mail.docx", "A 38977-2023")</f>
        <v/>
      </c>
    </row>
    <row r="451" ht="15" customHeight="1">
      <c r="A451" t="inlineStr">
        <is>
          <t>A 37049-2018</t>
        </is>
      </c>
      <c r="B451" s="1" t="n">
        <v>43332</v>
      </c>
      <c r="C451" s="1" t="n">
        <v>45215</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 artfynd.xlsx", "A 37049-2018")</f>
        <v/>
      </c>
      <c r="T451">
        <f>HYPERLINK("https://klasma.github.io/Logging_2284/kartor/A 37049-2018 karta.png", "A 37049-2018")</f>
        <v/>
      </c>
      <c r="V451">
        <f>HYPERLINK("https://klasma.github.io/Logging_2284/klagomål/A 37049-2018 FSC-klagomål.docx", "A 37049-2018")</f>
        <v/>
      </c>
      <c r="W451">
        <f>HYPERLINK("https://klasma.github.io/Logging_2284/klagomålsmail/A 37049-2018 FSC-klagomål mail.docx", "A 37049-2018")</f>
        <v/>
      </c>
      <c r="X451">
        <f>HYPERLINK("https://klasma.github.io/Logging_2284/tillsyn/A 37049-2018 tillsynsbegäran.docx", "A 37049-2018")</f>
        <v/>
      </c>
      <c r="Y451">
        <f>HYPERLINK("https://klasma.github.io/Logging_2284/tillsynsmail/A 37049-2018 tillsynsbegäran mail.docx", "A 37049-2018")</f>
        <v/>
      </c>
    </row>
    <row r="452" ht="15" customHeight="1">
      <c r="A452" t="inlineStr">
        <is>
          <t>A 42954-2018</t>
        </is>
      </c>
      <c r="B452" s="1" t="n">
        <v>43355</v>
      </c>
      <c r="C452" s="1" t="n">
        <v>45215</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 artfynd.xlsx", "A 42954-2018")</f>
        <v/>
      </c>
      <c r="T452">
        <f>HYPERLINK("https://klasma.github.io/Logging_2281/kartor/A 42954-2018 karta.png", "A 42954-2018")</f>
        <v/>
      </c>
      <c r="V452">
        <f>HYPERLINK("https://klasma.github.io/Logging_2281/klagomål/A 42954-2018 FSC-klagomål.docx", "A 42954-2018")</f>
        <v/>
      </c>
      <c r="W452">
        <f>HYPERLINK("https://klasma.github.io/Logging_2281/klagomålsmail/A 42954-2018 FSC-klagomål mail.docx", "A 42954-2018")</f>
        <v/>
      </c>
      <c r="X452">
        <f>HYPERLINK("https://klasma.github.io/Logging_2281/tillsyn/A 42954-2018 tillsynsbegäran.docx", "A 42954-2018")</f>
        <v/>
      </c>
      <c r="Y452">
        <f>HYPERLINK("https://klasma.github.io/Logging_2281/tillsynsmail/A 42954-2018 tillsynsbegäran mail.docx", "A 42954-2018")</f>
        <v/>
      </c>
    </row>
    <row r="453" ht="15" customHeight="1">
      <c r="A453" t="inlineStr">
        <is>
          <t>A 49231-2018</t>
        </is>
      </c>
      <c r="B453" s="1" t="n">
        <v>43374</v>
      </c>
      <c r="C453" s="1" t="n">
        <v>45215</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 artfynd.xlsx", "A 49231-2018")</f>
        <v/>
      </c>
      <c r="T453">
        <f>HYPERLINK("https://klasma.github.io/Logging_2281/kartor/A 49231-2018 karta.png", "A 49231-2018")</f>
        <v/>
      </c>
      <c r="V453">
        <f>HYPERLINK("https://klasma.github.io/Logging_2281/klagomål/A 49231-2018 FSC-klagomål.docx", "A 49231-2018")</f>
        <v/>
      </c>
      <c r="W453">
        <f>HYPERLINK("https://klasma.github.io/Logging_2281/klagomålsmail/A 49231-2018 FSC-klagomål mail.docx", "A 49231-2018")</f>
        <v/>
      </c>
      <c r="X453">
        <f>HYPERLINK("https://klasma.github.io/Logging_2281/tillsyn/A 49231-2018 tillsynsbegäran.docx", "A 49231-2018")</f>
        <v/>
      </c>
      <c r="Y453">
        <f>HYPERLINK("https://klasma.github.io/Logging_2281/tillsynsmail/A 49231-2018 tillsynsbegäran mail.docx", "A 49231-2018")</f>
        <v/>
      </c>
    </row>
    <row r="454" ht="15" customHeight="1">
      <c r="A454" t="inlineStr">
        <is>
          <t>A 51889-2018</t>
        </is>
      </c>
      <c r="B454" s="1" t="n">
        <v>43385</v>
      </c>
      <c r="C454" s="1" t="n">
        <v>45215</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 artfynd.xlsx", "A 51889-2018")</f>
        <v/>
      </c>
      <c r="T454">
        <f>HYPERLINK("https://klasma.github.io/Logging_2284/kartor/A 51889-2018 karta.png", "A 51889-2018")</f>
        <v/>
      </c>
      <c r="V454">
        <f>HYPERLINK("https://klasma.github.io/Logging_2284/klagomål/A 51889-2018 FSC-klagomål.docx", "A 51889-2018")</f>
        <v/>
      </c>
      <c r="W454">
        <f>HYPERLINK("https://klasma.github.io/Logging_2284/klagomålsmail/A 51889-2018 FSC-klagomål mail.docx", "A 51889-2018")</f>
        <v/>
      </c>
      <c r="X454">
        <f>HYPERLINK("https://klasma.github.io/Logging_2284/tillsyn/A 51889-2018 tillsynsbegäran.docx", "A 51889-2018")</f>
        <v/>
      </c>
      <c r="Y454">
        <f>HYPERLINK("https://klasma.github.io/Logging_2284/tillsynsmail/A 51889-2018 tillsynsbegäran mail.docx", "A 51889-2018")</f>
        <v/>
      </c>
    </row>
    <row r="455" ht="15" customHeight="1">
      <c r="A455" t="inlineStr">
        <is>
          <t>A 58580-2018</t>
        </is>
      </c>
      <c r="B455" s="1" t="n">
        <v>43409</v>
      </c>
      <c r="C455" s="1" t="n">
        <v>45215</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 artfynd.xlsx", "A 58580-2018")</f>
        <v/>
      </c>
      <c r="T455">
        <f>HYPERLINK("https://klasma.github.io/Logging_2283/kartor/A 58580-2018 karta.png", "A 58580-2018")</f>
        <v/>
      </c>
      <c r="V455">
        <f>HYPERLINK("https://klasma.github.io/Logging_2283/klagomål/A 58580-2018 FSC-klagomål.docx", "A 58580-2018")</f>
        <v/>
      </c>
      <c r="W455">
        <f>HYPERLINK("https://klasma.github.io/Logging_2283/klagomålsmail/A 58580-2018 FSC-klagomål mail.docx", "A 58580-2018")</f>
        <v/>
      </c>
      <c r="X455">
        <f>HYPERLINK("https://klasma.github.io/Logging_2283/tillsyn/A 58580-2018 tillsynsbegäran.docx", "A 58580-2018")</f>
        <v/>
      </c>
      <c r="Y455">
        <f>HYPERLINK("https://klasma.github.io/Logging_2283/tillsynsmail/A 58580-2018 tillsynsbegäran mail.docx", "A 58580-2018")</f>
        <v/>
      </c>
    </row>
    <row r="456" ht="15" customHeight="1">
      <c r="A456" t="inlineStr">
        <is>
          <t>A 58559-2018</t>
        </is>
      </c>
      <c r="B456" s="1" t="n">
        <v>43409</v>
      </c>
      <c r="C456" s="1" t="n">
        <v>45215</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 artfynd.xlsx", "A 58559-2018")</f>
        <v/>
      </c>
      <c r="T456">
        <f>HYPERLINK("https://klasma.github.io/Logging_2260/kartor/A 58559-2018 karta.png", "A 58559-2018")</f>
        <v/>
      </c>
      <c r="V456">
        <f>HYPERLINK("https://klasma.github.io/Logging_2260/klagomål/A 58559-2018 FSC-klagomål.docx", "A 58559-2018")</f>
        <v/>
      </c>
      <c r="W456">
        <f>HYPERLINK("https://klasma.github.io/Logging_2260/klagomålsmail/A 58559-2018 FSC-klagomål mail.docx", "A 58559-2018")</f>
        <v/>
      </c>
      <c r="X456">
        <f>HYPERLINK("https://klasma.github.io/Logging_2260/tillsyn/A 58559-2018 tillsynsbegäran.docx", "A 58559-2018")</f>
        <v/>
      </c>
      <c r="Y456">
        <f>HYPERLINK("https://klasma.github.io/Logging_2260/tillsynsmail/A 58559-2018 tillsynsbegäran mail.docx", "A 58559-2018")</f>
        <v/>
      </c>
    </row>
    <row r="457" ht="15" customHeight="1">
      <c r="A457" t="inlineStr">
        <is>
          <t>A 60181-2018</t>
        </is>
      </c>
      <c r="B457" s="1" t="n">
        <v>43412</v>
      </c>
      <c r="C457" s="1" t="n">
        <v>45215</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 artfynd.xlsx", "A 60181-2018")</f>
        <v/>
      </c>
      <c r="T457">
        <f>HYPERLINK("https://klasma.github.io/Logging_2281/kartor/A 60181-2018 karta.png", "A 60181-2018")</f>
        <v/>
      </c>
      <c r="V457">
        <f>HYPERLINK("https://klasma.github.io/Logging_2281/klagomål/A 60181-2018 FSC-klagomål.docx", "A 60181-2018")</f>
        <v/>
      </c>
      <c r="W457">
        <f>HYPERLINK("https://klasma.github.io/Logging_2281/klagomålsmail/A 60181-2018 FSC-klagomål mail.docx", "A 60181-2018")</f>
        <v/>
      </c>
      <c r="X457">
        <f>HYPERLINK("https://klasma.github.io/Logging_2281/tillsyn/A 60181-2018 tillsynsbegäran.docx", "A 60181-2018")</f>
        <v/>
      </c>
      <c r="Y457">
        <f>HYPERLINK("https://klasma.github.io/Logging_2281/tillsynsmail/A 60181-2018 tillsynsbegäran mail.docx", "A 60181-2018")</f>
        <v/>
      </c>
    </row>
    <row r="458" ht="15" customHeight="1">
      <c r="A458" t="inlineStr">
        <is>
          <t>A 71019-2018</t>
        </is>
      </c>
      <c r="B458" s="1" t="n">
        <v>43451</v>
      </c>
      <c r="C458" s="1" t="n">
        <v>45215</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 artfynd.xlsx", "A 71019-2018")</f>
        <v/>
      </c>
      <c r="T458">
        <f>HYPERLINK("https://klasma.github.io/Logging_2283/kartor/A 71019-2018 karta.png", "A 71019-2018")</f>
        <v/>
      </c>
      <c r="V458">
        <f>HYPERLINK("https://klasma.github.io/Logging_2283/klagomål/A 71019-2018 FSC-klagomål.docx", "A 71019-2018")</f>
        <v/>
      </c>
      <c r="W458">
        <f>HYPERLINK("https://klasma.github.io/Logging_2283/klagomålsmail/A 71019-2018 FSC-klagomål mail.docx", "A 71019-2018")</f>
        <v/>
      </c>
      <c r="X458">
        <f>HYPERLINK("https://klasma.github.io/Logging_2283/tillsyn/A 71019-2018 tillsynsbegäran.docx", "A 71019-2018")</f>
        <v/>
      </c>
      <c r="Y458">
        <f>HYPERLINK("https://klasma.github.io/Logging_2283/tillsynsmail/A 71019-2018 tillsynsbegäran mail.docx", "A 71019-2018")</f>
        <v/>
      </c>
    </row>
    <row r="459" ht="15" customHeight="1">
      <c r="A459" t="inlineStr">
        <is>
          <t>A 70806-2018</t>
        </is>
      </c>
      <c r="B459" s="1" t="n">
        <v>43451</v>
      </c>
      <c r="C459" s="1" t="n">
        <v>45215</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 artfynd.xlsx", "A 70806-2018")</f>
        <v/>
      </c>
      <c r="T459">
        <f>HYPERLINK("https://klasma.github.io/Logging_2283/kartor/A 70806-2018 karta.png", "A 70806-2018")</f>
        <v/>
      </c>
      <c r="V459">
        <f>HYPERLINK("https://klasma.github.io/Logging_2283/klagomål/A 70806-2018 FSC-klagomål.docx", "A 70806-2018")</f>
        <v/>
      </c>
      <c r="W459">
        <f>HYPERLINK("https://klasma.github.io/Logging_2283/klagomålsmail/A 70806-2018 FSC-klagomål mail.docx", "A 70806-2018")</f>
        <v/>
      </c>
      <c r="X459">
        <f>HYPERLINK("https://klasma.github.io/Logging_2283/tillsyn/A 70806-2018 tillsynsbegäran.docx", "A 70806-2018")</f>
        <v/>
      </c>
      <c r="Y459">
        <f>HYPERLINK("https://klasma.github.io/Logging_2283/tillsynsmail/A 70806-2018 tillsynsbegäran mail.docx", "A 70806-2018")</f>
        <v/>
      </c>
    </row>
    <row r="460" ht="15" customHeight="1">
      <c r="A460" t="inlineStr">
        <is>
          <t>A 71738-2018</t>
        </is>
      </c>
      <c r="B460" s="1" t="n">
        <v>43454</v>
      </c>
      <c r="C460" s="1" t="n">
        <v>45215</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 artfynd.xlsx", "A 71738-2018")</f>
        <v/>
      </c>
      <c r="T460">
        <f>HYPERLINK("https://klasma.github.io/Logging_2284/kartor/A 71738-2018 karta.png", "A 71738-2018")</f>
        <v/>
      </c>
      <c r="V460">
        <f>HYPERLINK("https://klasma.github.io/Logging_2284/klagomål/A 71738-2018 FSC-klagomål.docx", "A 71738-2018")</f>
        <v/>
      </c>
      <c r="W460">
        <f>HYPERLINK("https://klasma.github.io/Logging_2284/klagomålsmail/A 71738-2018 FSC-klagomål mail.docx", "A 71738-2018")</f>
        <v/>
      </c>
      <c r="X460">
        <f>HYPERLINK("https://klasma.github.io/Logging_2284/tillsyn/A 71738-2018 tillsynsbegäran.docx", "A 71738-2018")</f>
        <v/>
      </c>
      <c r="Y460">
        <f>HYPERLINK("https://klasma.github.io/Logging_2284/tillsynsmail/A 71738-2018 tillsynsbegäran mail.docx", "A 71738-2018")</f>
        <v/>
      </c>
    </row>
    <row r="461" ht="15" customHeight="1">
      <c r="A461" t="inlineStr">
        <is>
          <t>A 1191-2019</t>
        </is>
      </c>
      <c r="B461" s="1" t="n">
        <v>43473</v>
      </c>
      <c r="C461" s="1" t="n">
        <v>45215</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 artfynd.xlsx", "A 1191-2019")</f>
        <v/>
      </c>
      <c r="T461">
        <f>HYPERLINK("https://klasma.github.io/Logging_2281/kartor/A 1191-2019 karta.png", "A 1191-2019")</f>
        <v/>
      </c>
      <c r="V461">
        <f>HYPERLINK("https://klasma.github.io/Logging_2281/klagomål/A 1191-2019 FSC-klagomål.docx", "A 1191-2019")</f>
        <v/>
      </c>
      <c r="W461">
        <f>HYPERLINK("https://klasma.github.io/Logging_2281/klagomålsmail/A 1191-2019 FSC-klagomål mail.docx", "A 1191-2019")</f>
        <v/>
      </c>
      <c r="X461">
        <f>HYPERLINK("https://klasma.github.io/Logging_2281/tillsyn/A 1191-2019 tillsynsbegäran.docx", "A 1191-2019")</f>
        <v/>
      </c>
      <c r="Y461">
        <f>HYPERLINK("https://klasma.github.io/Logging_2281/tillsynsmail/A 1191-2019 tillsynsbegäran mail.docx", "A 1191-2019")</f>
        <v/>
      </c>
    </row>
    <row r="462" ht="15" customHeight="1">
      <c r="A462" t="inlineStr">
        <is>
          <t>A 4918-2019</t>
        </is>
      </c>
      <c r="B462" s="1" t="n">
        <v>43479</v>
      </c>
      <c r="C462" s="1" t="n">
        <v>45215</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 artfynd.xlsx", "A 4918-2019")</f>
        <v/>
      </c>
      <c r="T462">
        <f>HYPERLINK("https://klasma.github.io/Logging_2281/kartor/A 4918-2019 karta.png", "A 4918-2019")</f>
        <v/>
      </c>
      <c r="V462">
        <f>HYPERLINK("https://klasma.github.io/Logging_2281/klagomål/A 4918-2019 FSC-klagomål.docx", "A 4918-2019")</f>
        <v/>
      </c>
      <c r="W462">
        <f>HYPERLINK("https://klasma.github.io/Logging_2281/klagomålsmail/A 4918-2019 FSC-klagomål mail.docx", "A 4918-2019")</f>
        <v/>
      </c>
      <c r="X462">
        <f>HYPERLINK("https://klasma.github.io/Logging_2281/tillsyn/A 4918-2019 tillsynsbegäran.docx", "A 4918-2019")</f>
        <v/>
      </c>
      <c r="Y462">
        <f>HYPERLINK("https://klasma.github.io/Logging_2281/tillsynsmail/A 4918-2019 tillsynsbegäran mail.docx", "A 4918-2019")</f>
        <v/>
      </c>
    </row>
    <row r="463" ht="15" customHeight="1">
      <c r="A463" t="inlineStr">
        <is>
          <t>A 4951-2019</t>
        </is>
      </c>
      <c r="B463" s="1" t="n">
        <v>43479</v>
      </c>
      <c r="C463" s="1" t="n">
        <v>45215</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 artfynd.xlsx", "A 4951-2019")</f>
        <v/>
      </c>
      <c r="T463">
        <f>HYPERLINK("https://klasma.github.io/Logging_2260/kartor/A 4951-2019 karta.png", "A 4951-2019")</f>
        <v/>
      </c>
      <c r="V463">
        <f>HYPERLINK("https://klasma.github.io/Logging_2260/klagomål/A 4951-2019 FSC-klagomål.docx", "A 4951-2019")</f>
        <v/>
      </c>
      <c r="W463">
        <f>HYPERLINK("https://klasma.github.io/Logging_2260/klagomålsmail/A 4951-2019 FSC-klagomål mail.docx", "A 4951-2019")</f>
        <v/>
      </c>
      <c r="X463">
        <f>HYPERLINK("https://klasma.github.io/Logging_2260/tillsyn/A 4951-2019 tillsynsbegäran.docx", "A 4951-2019")</f>
        <v/>
      </c>
      <c r="Y463">
        <f>HYPERLINK("https://klasma.github.io/Logging_2260/tillsynsmail/A 4951-2019 tillsynsbegäran mail.docx", "A 4951-2019")</f>
        <v/>
      </c>
    </row>
    <row r="464" ht="15" customHeight="1">
      <c r="A464" t="inlineStr">
        <is>
          <t>A 3779-2019</t>
        </is>
      </c>
      <c r="B464" s="1" t="n">
        <v>43481</v>
      </c>
      <c r="C464" s="1" t="n">
        <v>45215</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 artfynd.xlsx", "A 3779-2019")</f>
        <v/>
      </c>
      <c r="T464">
        <f>HYPERLINK("https://klasma.github.io/Logging_2283/kartor/A 3779-2019 karta.png", "A 3779-2019")</f>
        <v/>
      </c>
      <c r="V464">
        <f>HYPERLINK("https://klasma.github.io/Logging_2283/klagomål/A 3779-2019 FSC-klagomål.docx", "A 3779-2019")</f>
        <v/>
      </c>
      <c r="W464">
        <f>HYPERLINK("https://klasma.github.io/Logging_2283/klagomålsmail/A 3779-2019 FSC-klagomål mail.docx", "A 3779-2019")</f>
        <v/>
      </c>
      <c r="X464">
        <f>HYPERLINK("https://klasma.github.io/Logging_2283/tillsyn/A 3779-2019 tillsynsbegäran.docx", "A 3779-2019")</f>
        <v/>
      </c>
      <c r="Y464">
        <f>HYPERLINK("https://klasma.github.io/Logging_2283/tillsynsmail/A 3779-2019 tillsynsbegäran mail.docx", "A 3779-2019")</f>
        <v/>
      </c>
    </row>
    <row r="465" ht="15" customHeight="1">
      <c r="A465" t="inlineStr">
        <is>
          <t>A 5443-2019</t>
        </is>
      </c>
      <c r="B465" s="1" t="n">
        <v>43481</v>
      </c>
      <c r="C465" s="1" t="n">
        <v>45215</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 artfynd.xlsx", "A 5443-2019")</f>
        <v/>
      </c>
      <c r="T465">
        <f>HYPERLINK("https://klasma.github.io/Logging_2284/kartor/A 5443-2019 karta.png", "A 5443-2019")</f>
        <v/>
      </c>
      <c r="V465">
        <f>HYPERLINK("https://klasma.github.io/Logging_2284/klagomål/A 5443-2019 FSC-klagomål.docx", "A 5443-2019")</f>
        <v/>
      </c>
      <c r="W465">
        <f>HYPERLINK("https://klasma.github.io/Logging_2284/klagomålsmail/A 5443-2019 FSC-klagomål mail.docx", "A 5443-2019")</f>
        <v/>
      </c>
      <c r="X465">
        <f>HYPERLINK("https://klasma.github.io/Logging_2284/tillsyn/A 5443-2019 tillsynsbegäran.docx", "A 5443-2019")</f>
        <v/>
      </c>
      <c r="Y465">
        <f>HYPERLINK("https://klasma.github.io/Logging_2284/tillsynsmail/A 5443-2019 tillsynsbegäran mail.docx", "A 5443-2019")</f>
        <v/>
      </c>
    </row>
    <row r="466" ht="15" customHeight="1">
      <c r="A466" t="inlineStr">
        <is>
          <t>A 4339-2019</t>
        </is>
      </c>
      <c r="B466" s="1" t="n">
        <v>43483</v>
      </c>
      <c r="C466" s="1" t="n">
        <v>45215</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 artfynd.xlsx", "A 4339-2019")</f>
        <v/>
      </c>
      <c r="T466">
        <f>HYPERLINK("https://klasma.github.io/Logging_2284/kartor/A 4339-2019 karta.png", "A 4339-2019")</f>
        <v/>
      </c>
      <c r="V466">
        <f>HYPERLINK("https://klasma.github.io/Logging_2284/klagomål/A 4339-2019 FSC-klagomål.docx", "A 4339-2019")</f>
        <v/>
      </c>
      <c r="W466">
        <f>HYPERLINK("https://klasma.github.io/Logging_2284/klagomålsmail/A 4339-2019 FSC-klagomål mail.docx", "A 4339-2019")</f>
        <v/>
      </c>
      <c r="X466">
        <f>HYPERLINK("https://klasma.github.io/Logging_2284/tillsyn/A 4339-2019 tillsynsbegäran.docx", "A 4339-2019")</f>
        <v/>
      </c>
      <c r="Y466">
        <f>HYPERLINK("https://klasma.github.io/Logging_2284/tillsynsmail/A 4339-2019 tillsynsbegäran mail.docx", "A 4339-2019")</f>
        <v/>
      </c>
    </row>
    <row r="467" ht="15" customHeight="1">
      <c r="A467" t="inlineStr">
        <is>
          <t>A 8476-2019</t>
        </is>
      </c>
      <c r="B467" s="1" t="n">
        <v>43497</v>
      </c>
      <c r="C467" s="1" t="n">
        <v>45215</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 artfynd.xlsx", "A 8476-2019")</f>
        <v/>
      </c>
      <c r="T467">
        <f>HYPERLINK("https://klasma.github.io/Logging_2283/kartor/A 8476-2019 karta.png", "A 8476-2019")</f>
        <v/>
      </c>
      <c r="V467">
        <f>HYPERLINK("https://klasma.github.io/Logging_2283/klagomål/A 8476-2019 FSC-klagomål.docx", "A 8476-2019")</f>
        <v/>
      </c>
      <c r="W467">
        <f>HYPERLINK("https://klasma.github.io/Logging_2283/klagomålsmail/A 8476-2019 FSC-klagomål mail.docx", "A 8476-2019")</f>
        <v/>
      </c>
      <c r="X467">
        <f>HYPERLINK("https://klasma.github.io/Logging_2283/tillsyn/A 8476-2019 tillsynsbegäran.docx", "A 8476-2019")</f>
        <v/>
      </c>
      <c r="Y467">
        <f>HYPERLINK("https://klasma.github.io/Logging_2283/tillsynsmail/A 8476-2019 tillsynsbegäran mail.docx", "A 8476-2019")</f>
        <v/>
      </c>
    </row>
    <row r="468" ht="15" customHeight="1">
      <c r="A468" t="inlineStr">
        <is>
          <t>A 16838-2019</t>
        </is>
      </c>
      <c r="B468" s="1" t="n">
        <v>43549</v>
      </c>
      <c r="C468" s="1" t="n">
        <v>45215</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 artfynd.xlsx", "A 16838-2019")</f>
        <v/>
      </c>
      <c r="T468">
        <f>HYPERLINK("https://klasma.github.io/Logging_2283/kartor/A 16838-2019 karta.png", "A 16838-2019")</f>
        <v/>
      </c>
      <c r="V468">
        <f>HYPERLINK("https://klasma.github.io/Logging_2283/klagomål/A 16838-2019 FSC-klagomål.docx", "A 16838-2019")</f>
        <v/>
      </c>
      <c r="W468">
        <f>HYPERLINK("https://klasma.github.io/Logging_2283/klagomålsmail/A 16838-2019 FSC-klagomål mail.docx", "A 16838-2019")</f>
        <v/>
      </c>
      <c r="X468">
        <f>HYPERLINK("https://klasma.github.io/Logging_2283/tillsyn/A 16838-2019 tillsynsbegäran.docx", "A 16838-2019")</f>
        <v/>
      </c>
      <c r="Y468">
        <f>HYPERLINK("https://klasma.github.io/Logging_2283/tillsynsmail/A 16838-2019 tillsynsbegäran mail.docx", "A 16838-2019")</f>
        <v/>
      </c>
    </row>
    <row r="469" ht="15" customHeight="1">
      <c r="A469" t="inlineStr">
        <is>
          <t>A 16852-2019</t>
        </is>
      </c>
      <c r="B469" s="1" t="n">
        <v>43549</v>
      </c>
      <c r="C469" s="1" t="n">
        <v>45215</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 artfynd.xlsx", "A 16852-2019")</f>
        <v/>
      </c>
      <c r="T469">
        <f>HYPERLINK("https://klasma.github.io/Logging_2262/kartor/A 16852-2019 karta.png", "A 16852-2019")</f>
        <v/>
      </c>
      <c r="V469">
        <f>HYPERLINK("https://klasma.github.io/Logging_2262/klagomål/A 16852-2019 FSC-klagomål.docx", "A 16852-2019")</f>
        <v/>
      </c>
      <c r="W469">
        <f>HYPERLINK("https://klasma.github.io/Logging_2262/klagomålsmail/A 16852-2019 FSC-klagomål mail.docx", "A 16852-2019")</f>
        <v/>
      </c>
      <c r="X469">
        <f>HYPERLINK("https://klasma.github.io/Logging_2262/tillsyn/A 16852-2019 tillsynsbegäran.docx", "A 16852-2019")</f>
        <v/>
      </c>
      <c r="Y469">
        <f>HYPERLINK("https://klasma.github.io/Logging_2262/tillsynsmail/A 16852-2019 tillsynsbegäran mail.docx", "A 16852-2019")</f>
        <v/>
      </c>
    </row>
    <row r="470" ht="15" customHeight="1">
      <c r="A470" t="inlineStr">
        <is>
          <t>A 16858-2019</t>
        </is>
      </c>
      <c r="B470" s="1" t="n">
        <v>43549</v>
      </c>
      <c r="C470" s="1" t="n">
        <v>45215</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 artfynd.xlsx", "A 16858-2019")</f>
        <v/>
      </c>
      <c r="T470">
        <f>HYPERLINK("https://klasma.github.io/Logging_2262/kartor/A 16858-2019 karta.png", "A 16858-2019")</f>
        <v/>
      </c>
      <c r="V470">
        <f>HYPERLINK("https://klasma.github.io/Logging_2262/klagomål/A 16858-2019 FSC-klagomål.docx", "A 16858-2019")</f>
        <v/>
      </c>
      <c r="W470">
        <f>HYPERLINK("https://klasma.github.io/Logging_2262/klagomålsmail/A 16858-2019 FSC-klagomål mail.docx", "A 16858-2019")</f>
        <v/>
      </c>
      <c r="X470">
        <f>HYPERLINK("https://klasma.github.io/Logging_2262/tillsyn/A 16858-2019 tillsynsbegäran.docx", "A 16858-2019")</f>
        <v/>
      </c>
      <c r="Y470">
        <f>HYPERLINK("https://klasma.github.io/Logging_2262/tillsynsmail/A 16858-2019 tillsynsbegäran mail.docx", "A 16858-2019")</f>
        <v/>
      </c>
    </row>
    <row r="471" ht="15" customHeight="1">
      <c r="A471" t="inlineStr">
        <is>
          <t>A 16864-2019</t>
        </is>
      </c>
      <c r="B471" s="1" t="n">
        <v>43549</v>
      </c>
      <c r="C471" s="1" t="n">
        <v>45215</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 artfynd.xlsx", "A 16864-2019")</f>
        <v/>
      </c>
      <c r="T471">
        <f>HYPERLINK("https://klasma.github.io/Logging_2260/kartor/A 16864-2019 karta.png", "A 16864-2019")</f>
        <v/>
      </c>
      <c r="V471">
        <f>HYPERLINK("https://klasma.github.io/Logging_2260/klagomål/A 16864-2019 FSC-klagomål.docx", "A 16864-2019")</f>
        <v/>
      </c>
      <c r="W471">
        <f>HYPERLINK("https://klasma.github.io/Logging_2260/klagomålsmail/A 16864-2019 FSC-klagomål mail.docx", "A 16864-2019")</f>
        <v/>
      </c>
      <c r="X471">
        <f>HYPERLINK("https://klasma.github.io/Logging_2260/tillsyn/A 16864-2019 tillsynsbegäran.docx", "A 16864-2019")</f>
        <v/>
      </c>
      <c r="Y471">
        <f>HYPERLINK("https://klasma.github.io/Logging_2260/tillsynsmail/A 16864-2019 tillsynsbegäran mail.docx", "A 16864-2019")</f>
        <v/>
      </c>
    </row>
    <row r="472" ht="15" customHeight="1">
      <c r="A472" t="inlineStr">
        <is>
          <t>A 21120-2019</t>
        </is>
      </c>
      <c r="B472" s="1" t="n">
        <v>43578</v>
      </c>
      <c r="C472" s="1" t="n">
        <v>45215</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 artfynd.xlsx", "A 21120-2019")</f>
        <v/>
      </c>
      <c r="T472">
        <f>HYPERLINK("https://klasma.github.io/Logging_2283/kartor/A 21120-2019 karta.png", "A 21120-2019")</f>
        <v/>
      </c>
      <c r="V472">
        <f>HYPERLINK("https://klasma.github.io/Logging_2283/klagomål/A 21120-2019 FSC-klagomål.docx", "A 21120-2019")</f>
        <v/>
      </c>
      <c r="W472">
        <f>HYPERLINK("https://klasma.github.io/Logging_2283/klagomålsmail/A 21120-2019 FSC-klagomål mail.docx", "A 21120-2019")</f>
        <v/>
      </c>
      <c r="X472">
        <f>HYPERLINK("https://klasma.github.io/Logging_2283/tillsyn/A 21120-2019 tillsynsbegäran.docx", "A 21120-2019")</f>
        <v/>
      </c>
      <c r="Y472">
        <f>HYPERLINK("https://klasma.github.io/Logging_2283/tillsynsmail/A 21120-2019 tillsynsbegäran mail.docx", "A 21120-2019")</f>
        <v/>
      </c>
    </row>
    <row r="473" ht="15" customHeight="1">
      <c r="A473" t="inlineStr">
        <is>
          <t>A 27216-2019</t>
        </is>
      </c>
      <c r="B473" s="1" t="n">
        <v>43614</v>
      </c>
      <c r="C473" s="1" t="n">
        <v>45215</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 artfynd.xlsx", "A 27216-2019")</f>
        <v/>
      </c>
      <c r="T473">
        <f>HYPERLINK("https://klasma.github.io/Logging_2281/kartor/A 27216-2019 karta.png", "A 27216-2019")</f>
        <v/>
      </c>
      <c r="V473">
        <f>HYPERLINK("https://klasma.github.io/Logging_2281/klagomål/A 27216-2019 FSC-klagomål.docx", "A 27216-2019")</f>
        <v/>
      </c>
      <c r="W473">
        <f>HYPERLINK("https://klasma.github.io/Logging_2281/klagomålsmail/A 27216-2019 FSC-klagomål mail.docx", "A 27216-2019")</f>
        <v/>
      </c>
      <c r="X473">
        <f>HYPERLINK("https://klasma.github.io/Logging_2281/tillsyn/A 27216-2019 tillsynsbegäran.docx", "A 27216-2019")</f>
        <v/>
      </c>
      <c r="Y473">
        <f>HYPERLINK("https://klasma.github.io/Logging_2281/tillsynsmail/A 27216-2019 tillsynsbegäran mail.docx", "A 27216-2019")</f>
        <v/>
      </c>
    </row>
    <row r="474" ht="15" customHeight="1">
      <c r="A474" t="inlineStr">
        <is>
          <t>A 28600-2019</t>
        </is>
      </c>
      <c r="B474" s="1" t="n">
        <v>43626</v>
      </c>
      <c r="C474" s="1" t="n">
        <v>45215</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 artfynd.xlsx", "A 28600-2019")</f>
        <v/>
      </c>
      <c r="T474">
        <f>HYPERLINK("https://klasma.github.io/Logging_2283/kartor/A 28600-2019 karta.png", "A 28600-2019")</f>
        <v/>
      </c>
      <c r="V474">
        <f>HYPERLINK("https://klasma.github.io/Logging_2283/klagomål/A 28600-2019 FSC-klagomål.docx", "A 28600-2019")</f>
        <v/>
      </c>
      <c r="W474">
        <f>HYPERLINK("https://klasma.github.io/Logging_2283/klagomålsmail/A 28600-2019 FSC-klagomål mail.docx", "A 28600-2019")</f>
        <v/>
      </c>
      <c r="X474">
        <f>HYPERLINK("https://klasma.github.io/Logging_2283/tillsyn/A 28600-2019 tillsynsbegäran.docx", "A 28600-2019")</f>
        <v/>
      </c>
      <c r="Y474">
        <f>HYPERLINK("https://klasma.github.io/Logging_2283/tillsynsmail/A 28600-2019 tillsynsbegäran mail.docx", "A 28600-2019")</f>
        <v/>
      </c>
    </row>
    <row r="475" ht="15" customHeight="1">
      <c r="A475" t="inlineStr">
        <is>
          <t>A 36982-2019</t>
        </is>
      </c>
      <c r="B475" s="1" t="n">
        <v>43676</v>
      </c>
      <c r="C475" s="1" t="n">
        <v>45215</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 artfynd.xlsx", "A 36982-2019")</f>
        <v/>
      </c>
      <c r="T475">
        <f>HYPERLINK("https://klasma.github.io/Logging_2283/kartor/A 36982-2019 karta.png", "A 36982-2019")</f>
        <v/>
      </c>
      <c r="V475">
        <f>HYPERLINK("https://klasma.github.io/Logging_2283/klagomål/A 36982-2019 FSC-klagomål.docx", "A 36982-2019")</f>
        <v/>
      </c>
      <c r="W475">
        <f>HYPERLINK("https://klasma.github.io/Logging_2283/klagomålsmail/A 36982-2019 FSC-klagomål mail.docx", "A 36982-2019")</f>
        <v/>
      </c>
      <c r="X475">
        <f>HYPERLINK("https://klasma.github.io/Logging_2283/tillsyn/A 36982-2019 tillsynsbegäran.docx", "A 36982-2019")</f>
        <v/>
      </c>
      <c r="Y475">
        <f>HYPERLINK("https://klasma.github.io/Logging_2283/tillsynsmail/A 36982-2019 tillsynsbegäran mail.docx", "A 36982-2019")</f>
        <v/>
      </c>
    </row>
    <row r="476" ht="15" customHeight="1">
      <c r="A476" t="inlineStr">
        <is>
          <t>A 38091-2019</t>
        </is>
      </c>
      <c r="B476" s="1" t="n">
        <v>43682</v>
      </c>
      <c r="C476" s="1" t="n">
        <v>45215</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 artfynd.xlsx", "A 38091-2019")</f>
        <v/>
      </c>
      <c r="T476">
        <f>HYPERLINK("https://klasma.github.io/Logging_2283/kartor/A 38091-2019 karta.png", "A 38091-2019")</f>
        <v/>
      </c>
      <c r="V476">
        <f>HYPERLINK("https://klasma.github.io/Logging_2283/klagomål/A 38091-2019 FSC-klagomål.docx", "A 38091-2019")</f>
        <v/>
      </c>
      <c r="W476">
        <f>HYPERLINK("https://klasma.github.io/Logging_2283/klagomålsmail/A 38091-2019 FSC-klagomål mail.docx", "A 38091-2019")</f>
        <v/>
      </c>
      <c r="X476">
        <f>HYPERLINK("https://klasma.github.io/Logging_2283/tillsyn/A 38091-2019 tillsynsbegäran.docx", "A 38091-2019")</f>
        <v/>
      </c>
      <c r="Y476">
        <f>HYPERLINK("https://klasma.github.io/Logging_2283/tillsynsmail/A 38091-2019 tillsynsbegäran mail.docx", "A 38091-2019")</f>
        <v/>
      </c>
    </row>
    <row r="477" ht="15" customHeight="1">
      <c r="A477" t="inlineStr">
        <is>
          <t>A 44607-2019</t>
        </is>
      </c>
      <c r="B477" s="1" t="n">
        <v>43711</v>
      </c>
      <c r="C477" s="1" t="n">
        <v>45215</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 artfynd.xlsx", "A 44607-2019")</f>
        <v/>
      </c>
      <c r="T477">
        <f>HYPERLINK("https://klasma.github.io/Logging_2281/kartor/A 44607-2019 karta.png", "A 44607-2019")</f>
        <v/>
      </c>
      <c r="V477">
        <f>HYPERLINK("https://klasma.github.io/Logging_2281/klagomål/A 44607-2019 FSC-klagomål.docx", "A 44607-2019")</f>
        <v/>
      </c>
      <c r="W477">
        <f>HYPERLINK("https://klasma.github.io/Logging_2281/klagomålsmail/A 44607-2019 FSC-klagomål mail.docx", "A 44607-2019")</f>
        <v/>
      </c>
      <c r="X477">
        <f>HYPERLINK("https://klasma.github.io/Logging_2281/tillsyn/A 44607-2019 tillsynsbegäran.docx", "A 44607-2019")</f>
        <v/>
      </c>
      <c r="Y477">
        <f>HYPERLINK("https://klasma.github.io/Logging_2281/tillsynsmail/A 44607-2019 tillsynsbegäran mail.docx", "A 44607-2019")</f>
        <v/>
      </c>
    </row>
    <row r="478" ht="15" customHeight="1">
      <c r="A478" t="inlineStr">
        <is>
          <t>A 44732-2019</t>
        </is>
      </c>
      <c r="B478" s="1" t="n">
        <v>43712</v>
      </c>
      <c r="C478" s="1" t="n">
        <v>45215</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 artfynd.xlsx", "A 44732-2019")</f>
        <v/>
      </c>
      <c r="T478">
        <f>HYPERLINK("https://klasma.github.io/Logging_2284/kartor/A 44732-2019 karta.png", "A 44732-2019")</f>
        <v/>
      </c>
      <c r="V478">
        <f>HYPERLINK("https://klasma.github.io/Logging_2284/klagomål/A 44732-2019 FSC-klagomål.docx", "A 44732-2019")</f>
        <v/>
      </c>
      <c r="W478">
        <f>HYPERLINK("https://klasma.github.io/Logging_2284/klagomålsmail/A 44732-2019 FSC-klagomål mail.docx", "A 44732-2019")</f>
        <v/>
      </c>
      <c r="X478">
        <f>HYPERLINK("https://klasma.github.io/Logging_2284/tillsyn/A 44732-2019 tillsynsbegäran.docx", "A 44732-2019")</f>
        <v/>
      </c>
      <c r="Y478">
        <f>HYPERLINK("https://klasma.github.io/Logging_2284/tillsynsmail/A 44732-2019 tillsynsbegäran mail.docx", "A 44732-2019")</f>
        <v/>
      </c>
    </row>
    <row r="479" ht="15" customHeight="1">
      <c r="A479" t="inlineStr">
        <is>
          <t>A 51669-2019</t>
        </is>
      </c>
      <c r="B479" s="1" t="n">
        <v>43740</v>
      </c>
      <c r="C479" s="1" t="n">
        <v>45215</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 artfynd.xlsx", "A 51669-2019")</f>
        <v/>
      </c>
      <c r="T479">
        <f>HYPERLINK("https://klasma.github.io/Logging_2283/kartor/A 51669-2019 karta.png", "A 51669-2019")</f>
        <v/>
      </c>
      <c r="V479">
        <f>HYPERLINK("https://klasma.github.io/Logging_2283/klagomål/A 51669-2019 FSC-klagomål.docx", "A 51669-2019")</f>
        <v/>
      </c>
      <c r="W479">
        <f>HYPERLINK("https://klasma.github.io/Logging_2283/klagomålsmail/A 51669-2019 FSC-klagomål mail.docx", "A 51669-2019")</f>
        <v/>
      </c>
      <c r="X479">
        <f>HYPERLINK("https://klasma.github.io/Logging_2283/tillsyn/A 51669-2019 tillsynsbegäran.docx", "A 51669-2019")</f>
        <v/>
      </c>
      <c r="Y479">
        <f>HYPERLINK("https://klasma.github.io/Logging_2283/tillsynsmail/A 51669-2019 tillsynsbegäran mail.docx", "A 51669-2019")</f>
        <v/>
      </c>
    </row>
    <row r="480" ht="15" customHeight="1">
      <c r="A480" t="inlineStr">
        <is>
          <t>A 54148-2019</t>
        </is>
      </c>
      <c r="B480" s="1" t="n">
        <v>43753</v>
      </c>
      <c r="C480" s="1" t="n">
        <v>45215</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 artfynd.xlsx", "A 54148-2019")</f>
        <v/>
      </c>
      <c r="T480">
        <f>HYPERLINK("https://klasma.github.io/Logging_2284/kartor/A 54148-2019 karta.png", "A 54148-2019")</f>
        <v/>
      </c>
      <c r="V480">
        <f>HYPERLINK("https://klasma.github.io/Logging_2284/klagomål/A 54148-2019 FSC-klagomål.docx", "A 54148-2019")</f>
        <v/>
      </c>
      <c r="W480">
        <f>HYPERLINK("https://klasma.github.io/Logging_2284/klagomålsmail/A 54148-2019 FSC-klagomål mail.docx", "A 54148-2019")</f>
        <v/>
      </c>
      <c r="X480">
        <f>HYPERLINK("https://klasma.github.io/Logging_2284/tillsyn/A 54148-2019 tillsynsbegäran.docx", "A 54148-2019")</f>
        <v/>
      </c>
      <c r="Y480">
        <f>HYPERLINK("https://klasma.github.io/Logging_2284/tillsynsmail/A 54148-2019 tillsynsbegäran mail.docx", "A 54148-2019")</f>
        <v/>
      </c>
    </row>
    <row r="481" ht="15" customHeight="1">
      <c r="A481" t="inlineStr">
        <is>
          <t>A 55307-2019</t>
        </is>
      </c>
      <c r="B481" s="1" t="n">
        <v>43756</v>
      </c>
      <c r="C481" s="1" t="n">
        <v>45215</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 artfynd.xlsx", "A 55307-2019")</f>
        <v/>
      </c>
      <c r="T481">
        <f>HYPERLINK("https://klasma.github.io/Logging_2284/kartor/A 55307-2019 karta.png", "A 55307-2019")</f>
        <v/>
      </c>
      <c r="V481">
        <f>HYPERLINK("https://klasma.github.io/Logging_2284/klagomål/A 55307-2019 FSC-klagomål.docx", "A 55307-2019")</f>
        <v/>
      </c>
      <c r="W481">
        <f>HYPERLINK("https://klasma.github.io/Logging_2284/klagomålsmail/A 55307-2019 FSC-klagomål mail.docx", "A 55307-2019")</f>
        <v/>
      </c>
      <c r="X481">
        <f>HYPERLINK("https://klasma.github.io/Logging_2284/tillsyn/A 55307-2019 tillsynsbegäran.docx", "A 55307-2019")</f>
        <v/>
      </c>
      <c r="Y481">
        <f>HYPERLINK("https://klasma.github.io/Logging_2284/tillsynsmail/A 55307-2019 tillsynsbegäran mail.docx", "A 55307-2019")</f>
        <v/>
      </c>
    </row>
    <row r="482" ht="15" customHeight="1">
      <c r="A482" t="inlineStr">
        <is>
          <t>A 60489-2019</t>
        </is>
      </c>
      <c r="B482" s="1" t="n">
        <v>43780</v>
      </c>
      <c r="C482" s="1" t="n">
        <v>45215</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 artfynd.xlsx", "A 60489-2019")</f>
        <v/>
      </c>
      <c r="T482">
        <f>HYPERLINK("https://klasma.github.io/Logging_2284/kartor/A 60489-2019 karta.png", "A 60489-2019")</f>
        <v/>
      </c>
      <c r="V482">
        <f>HYPERLINK("https://klasma.github.io/Logging_2284/klagomål/A 60489-2019 FSC-klagomål.docx", "A 60489-2019")</f>
        <v/>
      </c>
      <c r="W482">
        <f>HYPERLINK("https://klasma.github.io/Logging_2284/klagomålsmail/A 60489-2019 FSC-klagomål mail.docx", "A 60489-2019")</f>
        <v/>
      </c>
      <c r="X482">
        <f>HYPERLINK("https://klasma.github.io/Logging_2284/tillsyn/A 60489-2019 tillsynsbegäran.docx", "A 60489-2019")</f>
        <v/>
      </c>
      <c r="Y482">
        <f>HYPERLINK("https://klasma.github.io/Logging_2284/tillsynsmail/A 60489-2019 tillsynsbegäran mail.docx", "A 60489-2019")</f>
        <v/>
      </c>
    </row>
    <row r="483" ht="15" customHeight="1">
      <c r="A483" t="inlineStr">
        <is>
          <t>A 61401-2019</t>
        </is>
      </c>
      <c r="B483" s="1" t="n">
        <v>43783</v>
      </c>
      <c r="C483" s="1" t="n">
        <v>45215</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 artfynd.xlsx", "A 61401-2019")</f>
        <v/>
      </c>
      <c r="T483">
        <f>HYPERLINK("https://klasma.github.io/Logging_2284/kartor/A 61401-2019 karta.png", "A 61401-2019")</f>
        <v/>
      </c>
      <c r="V483">
        <f>HYPERLINK("https://klasma.github.io/Logging_2284/klagomål/A 61401-2019 FSC-klagomål.docx", "A 61401-2019")</f>
        <v/>
      </c>
      <c r="W483">
        <f>HYPERLINK("https://klasma.github.io/Logging_2284/klagomålsmail/A 61401-2019 FSC-klagomål mail.docx", "A 61401-2019")</f>
        <v/>
      </c>
      <c r="X483">
        <f>HYPERLINK("https://klasma.github.io/Logging_2284/tillsyn/A 61401-2019 tillsynsbegäran.docx", "A 61401-2019")</f>
        <v/>
      </c>
      <c r="Y483">
        <f>HYPERLINK("https://klasma.github.io/Logging_2284/tillsynsmail/A 61401-2019 tillsynsbegäran mail.docx", "A 61401-2019")</f>
        <v/>
      </c>
    </row>
    <row r="484" ht="15" customHeight="1">
      <c r="A484" t="inlineStr">
        <is>
          <t>A 66710-2019</t>
        </is>
      </c>
      <c r="B484" s="1" t="n">
        <v>43809</v>
      </c>
      <c r="C484" s="1" t="n">
        <v>45215</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 artfynd.xlsx", "A 66710-2019")</f>
        <v/>
      </c>
      <c r="T484">
        <f>HYPERLINK("https://klasma.github.io/Logging_2262/kartor/A 66710-2019 karta.png", "A 66710-2019")</f>
        <v/>
      </c>
      <c r="V484">
        <f>HYPERLINK("https://klasma.github.io/Logging_2262/klagomål/A 66710-2019 FSC-klagomål.docx", "A 66710-2019")</f>
        <v/>
      </c>
      <c r="W484">
        <f>HYPERLINK("https://klasma.github.io/Logging_2262/klagomålsmail/A 66710-2019 FSC-klagomål mail.docx", "A 66710-2019")</f>
        <v/>
      </c>
      <c r="X484">
        <f>HYPERLINK("https://klasma.github.io/Logging_2262/tillsyn/A 66710-2019 tillsynsbegäran.docx", "A 66710-2019")</f>
        <v/>
      </c>
      <c r="Y484">
        <f>HYPERLINK("https://klasma.github.io/Logging_2262/tillsynsmail/A 66710-2019 tillsynsbegäran mail.docx", "A 66710-2019")</f>
        <v/>
      </c>
    </row>
    <row r="485" ht="15" customHeight="1">
      <c r="A485" t="inlineStr">
        <is>
          <t>A 970-2020</t>
        </is>
      </c>
      <c r="B485" s="1" t="n">
        <v>43839</v>
      </c>
      <c r="C485" s="1" t="n">
        <v>45215</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 artfynd.xlsx", "A 970-2020")</f>
        <v/>
      </c>
      <c r="T485">
        <f>HYPERLINK("https://klasma.github.io/Logging_2281/kartor/A 970-2020 karta.png", "A 970-2020")</f>
        <v/>
      </c>
      <c r="V485">
        <f>HYPERLINK("https://klasma.github.io/Logging_2281/klagomål/A 970-2020 FSC-klagomål.docx", "A 970-2020")</f>
        <v/>
      </c>
      <c r="W485">
        <f>HYPERLINK("https://klasma.github.io/Logging_2281/klagomålsmail/A 970-2020 FSC-klagomål mail.docx", "A 970-2020")</f>
        <v/>
      </c>
      <c r="X485">
        <f>HYPERLINK("https://klasma.github.io/Logging_2281/tillsyn/A 970-2020 tillsynsbegäran.docx", "A 970-2020")</f>
        <v/>
      </c>
      <c r="Y485">
        <f>HYPERLINK("https://klasma.github.io/Logging_2281/tillsynsmail/A 970-2020 tillsynsbegäran mail.docx", "A 970-2020")</f>
        <v/>
      </c>
    </row>
    <row r="486" ht="15" customHeight="1">
      <c r="A486" t="inlineStr">
        <is>
          <t>A 1431-2020</t>
        </is>
      </c>
      <c r="B486" s="1" t="n">
        <v>43843</v>
      </c>
      <c r="C486" s="1" t="n">
        <v>45215</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 artfynd.xlsx", "A 1431-2020")</f>
        <v/>
      </c>
      <c r="T486">
        <f>HYPERLINK("https://klasma.github.io/Logging_2284/kartor/A 1431-2020 karta.png", "A 1431-2020")</f>
        <v/>
      </c>
      <c r="V486">
        <f>HYPERLINK("https://klasma.github.io/Logging_2284/klagomål/A 1431-2020 FSC-klagomål.docx", "A 1431-2020")</f>
        <v/>
      </c>
      <c r="W486">
        <f>HYPERLINK("https://klasma.github.io/Logging_2284/klagomålsmail/A 1431-2020 FSC-klagomål mail.docx", "A 1431-2020")</f>
        <v/>
      </c>
      <c r="X486">
        <f>HYPERLINK("https://klasma.github.io/Logging_2284/tillsyn/A 1431-2020 tillsynsbegäran.docx", "A 1431-2020")</f>
        <v/>
      </c>
      <c r="Y486">
        <f>HYPERLINK("https://klasma.github.io/Logging_2284/tillsynsmail/A 1431-2020 tillsynsbegäran mail.docx", "A 1431-2020")</f>
        <v/>
      </c>
    </row>
    <row r="487" ht="15" customHeight="1">
      <c r="A487" t="inlineStr">
        <is>
          <t>A 3905-2020</t>
        </is>
      </c>
      <c r="B487" s="1" t="n">
        <v>43854</v>
      </c>
      <c r="C487" s="1" t="n">
        <v>45215</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 artfynd.xlsx", "A 3905-2020")</f>
        <v/>
      </c>
      <c r="T487">
        <f>HYPERLINK("https://klasma.github.io/Logging_2284/kartor/A 3905-2020 karta.png", "A 3905-2020")</f>
        <v/>
      </c>
      <c r="V487">
        <f>HYPERLINK("https://klasma.github.io/Logging_2284/klagomål/A 3905-2020 FSC-klagomål.docx", "A 3905-2020")</f>
        <v/>
      </c>
      <c r="W487">
        <f>HYPERLINK("https://klasma.github.io/Logging_2284/klagomålsmail/A 3905-2020 FSC-klagomål mail.docx", "A 3905-2020")</f>
        <v/>
      </c>
      <c r="X487">
        <f>HYPERLINK("https://klasma.github.io/Logging_2284/tillsyn/A 3905-2020 tillsynsbegäran.docx", "A 3905-2020")</f>
        <v/>
      </c>
      <c r="Y487">
        <f>HYPERLINK("https://klasma.github.io/Logging_2284/tillsynsmail/A 3905-2020 tillsynsbegäran mail.docx", "A 3905-2020")</f>
        <v/>
      </c>
    </row>
    <row r="488" ht="15" customHeight="1">
      <c r="A488" t="inlineStr">
        <is>
          <t>A 6564-2020</t>
        </is>
      </c>
      <c r="B488" s="1" t="n">
        <v>43867</v>
      </c>
      <c r="C488" s="1" t="n">
        <v>45215</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 artfynd.xlsx", "A 6564-2020")</f>
        <v/>
      </c>
      <c r="T488">
        <f>HYPERLINK("https://klasma.github.io/Logging_2260/kartor/A 6564-2020 karta.png", "A 6564-2020")</f>
        <v/>
      </c>
      <c r="V488">
        <f>HYPERLINK("https://klasma.github.io/Logging_2260/klagomål/A 6564-2020 FSC-klagomål.docx", "A 6564-2020")</f>
        <v/>
      </c>
      <c r="W488">
        <f>HYPERLINK("https://klasma.github.io/Logging_2260/klagomålsmail/A 6564-2020 FSC-klagomål mail.docx", "A 6564-2020")</f>
        <v/>
      </c>
      <c r="X488">
        <f>HYPERLINK("https://klasma.github.io/Logging_2260/tillsyn/A 6564-2020 tillsynsbegäran.docx", "A 6564-2020")</f>
        <v/>
      </c>
      <c r="Y488">
        <f>HYPERLINK("https://klasma.github.io/Logging_2260/tillsynsmail/A 6564-2020 tillsynsbegäran mail.docx", "A 6564-2020")</f>
        <v/>
      </c>
    </row>
    <row r="489" ht="15" customHeight="1">
      <c r="A489" t="inlineStr">
        <is>
          <t>A 8894-2020</t>
        </is>
      </c>
      <c r="B489" s="1" t="n">
        <v>43878</v>
      </c>
      <c r="C489" s="1" t="n">
        <v>45215</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 artfynd.xlsx", "A 8894-2020")</f>
        <v/>
      </c>
      <c r="T489">
        <f>HYPERLINK("https://klasma.github.io/Logging_2281/kartor/A 8894-2020 karta.png", "A 8894-2020")</f>
        <v/>
      </c>
      <c r="V489">
        <f>HYPERLINK("https://klasma.github.io/Logging_2281/klagomål/A 8894-2020 FSC-klagomål.docx", "A 8894-2020")</f>
        <v/>
      </c>
      <c r="W489">
        <f>HYPERLINK("https://klasma.github.io/Logging_2281/klagomålsmail/A 8894-2020 FSC-klagomål mail.docx", "A 8894-2020")</f>
        <v/>
      </c>
      <c r="X489">
        <f>HYPERLINK("https://klasma.github.io/Logging_2281/tillsyn/A 8894-2020 tillsynsbegäran.docx", "A 8894-2020")</f>
        <v/>
      </c>
      <c r="Y489">
        <f>HYPERLINK("https://klasma.github.io/Logging_2281/tillsynsmail/A 8894-2020 tillsynsbegäran mail.docx", "A 8894-2020")</f>
        <v/>
      </c>
    </row>
    <row r="490" ht="15" customHeight="1">
      <c r="A490" t="inlineStr">
        <is>
          <t>A 9178-2020</t>
        </is>
      </c>
      <c r="B490" s="1" t="n">
        <v>43879</v>
      </c>
      <c r="C490" s="1" t="n">
        <v>45215</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45215</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45215</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45215</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45215</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45215</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45215</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45215</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45215</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45215</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45215</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45215</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45215</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45215</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45215</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45215</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45215</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45215</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45215</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45215</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45215</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45215</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45215</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45215</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45215</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45215</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45215</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45215</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45215</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45215</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45215</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45215</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45215</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45215</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45215</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45215</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45215</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45215</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45215</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45215</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45215</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45215</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45215</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45215</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45215</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45215</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45215</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45215</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45215</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45215</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45215</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45215</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45215</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45215</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45215</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45215</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45215</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45215</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45215</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45215</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45215</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45215</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45215</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45215</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45215</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45215</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45215</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45215</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45215</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45215</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45215</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45215</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45215</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45215</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45215</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45215</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45215</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45215</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45215</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45215</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45215</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45215</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45215</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45215</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45215</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45215</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45215</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45215</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45215</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45215</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45215</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45215</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45215</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45215</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45215</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45215</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45215</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45215</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45215</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45215</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45215</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45215</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45215</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45215</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45215</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45215</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45215</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45215</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45215</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45215</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45215</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45215</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45215</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45215</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45215</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45215</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45215</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45215</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45215</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45215</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45215</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45215</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45215</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45215</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45215</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45215</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45215</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45215</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45215</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45215</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45215</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45215</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45215</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45215</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45215</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45215</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45215</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45215</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45215</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45215</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45215</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45215</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45215</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45215</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45215</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45215</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45215</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45215</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45215</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45215</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45215</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45215</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45215</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45215</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45215</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45215</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45215</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45215</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45215</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45215</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45215</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45215</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45215</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45215</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45215</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45215</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45215</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45215</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45215</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45215</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45215</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45215</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45215</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45215</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45215</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45215</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45215</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45215</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45215</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45215</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45215</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45215</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45215</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45215</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45215</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45215</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45215</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45215</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45215</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45215</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45215</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45215</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45215</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45215</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45215</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45215</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45215</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45215</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45215</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45215</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45215</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45215</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45215</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45215</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45215</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45215</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45215</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45215</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45215</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45215</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45215</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45215</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45215</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45215</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45215</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45215</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45215</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45215</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45215</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45215</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45215</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45215</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45215</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45215</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45215</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45215</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45215</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45215</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45215</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45215</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45215</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45215</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45215</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45215</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45215</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45215</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45215</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45215</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45215</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45215</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45215</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45215</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45215</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45215</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45215</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45215</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45215</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45215</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45215</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45215</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45215</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45215</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45215</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45215</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45215</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45215</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45215</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45215</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45215</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45215</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45215</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45215</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45215</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45215</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45215</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45215</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45215</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45215</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45215</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45215</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45215</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45215</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45215</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45215</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45215</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45215</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45215</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45215</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45215</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45215</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45215</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45215</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45215</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45215</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45215</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45215</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45215</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45215</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45215</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45215</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45215</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45215</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45215</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45215</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45215</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45215</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45215</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45215</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45215</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45215</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45215</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45215</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45215</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45215</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45215</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45215</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45215</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45215</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45215</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45215</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45215</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45215</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45215</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45215</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45215</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45215</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45215</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45215</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45215</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45215</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45215</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45215</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45215</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45215</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45215</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45215</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45215</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45215</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45215</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45215</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45215</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45215</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45215</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45215</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45215</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45215</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45215</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45215</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45215</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45215</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45215</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45215</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45215</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45215</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45215</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45215</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45215</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45215</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45215</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45215</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45215</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45215</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45215</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45215</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45215</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45215</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45215</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45215</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45215</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45215</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45215</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45215</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45215</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45215</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45215</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45215</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45215</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45215</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45215</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45215</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45215</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45215</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45215</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45215</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45215</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45215</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45215</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45215</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45215</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45215</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45215</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45215</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45215</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45215</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45215</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45215</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45215</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45215</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45215</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45215</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45215</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45215</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45215</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45215</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45215</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45215</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45215</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45215</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45215</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45215</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45215</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45215</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45215</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45215</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45215</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45215</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45215</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45215</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45215</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45215</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45215</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45215</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45215</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45215</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45215</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45215</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45215</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45215</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45215</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45215</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45215</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45215</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45215</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45215</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45215</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45215</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45215</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45215</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45215</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45215</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45215</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45215</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45215</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45215</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45215</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45215</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45215</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45215</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45215</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45215</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45215</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45215</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45215</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45215</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45215</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45215</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45215</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45215</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45215</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45215</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45215</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45215</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45215</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45215</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45215</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45215</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45215</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45215</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45215</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45215</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45215</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45215</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45215</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45215</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45215</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45215</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45215</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45215</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45215</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45215</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45215</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45215</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45215</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45215</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45215</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45215</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45215</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45215</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45215</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45215</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45215</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45215</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45215</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45215</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45215</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45215</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45215</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45215</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45215</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45215</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45215</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45215</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45215</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45215</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45215</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45215</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45215</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45215</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45215</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45215</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45215</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45215</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45215</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45215</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45215</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45215</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45215</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45215</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45215</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45215</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45215</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45215</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45215</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45215</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45215</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45215</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45215</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45215</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45215</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45215</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45215</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45215</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45215</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45215</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45215</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45215</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45215</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45215</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45215</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45215</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45215</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45215</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45215</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45215</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45215</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45215</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45215</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45215</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45215</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45215</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45215</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45215</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45215</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45215</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45215</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45215</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45215</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45215</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45215</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45215</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45215</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45215</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45215</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45215</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45215</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45215</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45215</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45215</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45215</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45215</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45215</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45215</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45215</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45215</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45215</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45215</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45215</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45215</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45215</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45215</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45215</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45215</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45215</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45215</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45215</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45215</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45215</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45215</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45215</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45215</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45215</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45215</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45215</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45215</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45215</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45215</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45215</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45215</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45215</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45215</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45215</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45215</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45215</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45215</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45215</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45215</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45215</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45215</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45215</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45215</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45215</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45215</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45215</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45215</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45215</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45215</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45215</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45215</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45215</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45215</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45215</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45215</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45215</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45215</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45215</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45215</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45215</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45215</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45215</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45215</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45215</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45215</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45215</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45215</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45215</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45215</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45215</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45215</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45215</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45215</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45215</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45215</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45215</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45215</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45215</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45215</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45215</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45215</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45215</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45215</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45215</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45215</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45215</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45215</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45215</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45215</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45215</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45215</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45215</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45215</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45215</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45215</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45215</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45215</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45215</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45215</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45215</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45215</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45215</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45215</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45215</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45215</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45215</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45215</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45215</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45215</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45215</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45215</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45215</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45215</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45215</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45215</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45215</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45215</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45215</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45215</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45215</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45215</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45215</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45215</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45215</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45215</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45215</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45215</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45215</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45215</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45215</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45215</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45215</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45215</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45215</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45215</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45215</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45215</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45215</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45215</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45215</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45215</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45215</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45215</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45215</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45215</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45215</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45215</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45215</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45215</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45215</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45215</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45215</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45215</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45215</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45215</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45215</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45215</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45215</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45215</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45215</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45215</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45215</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45215</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45215</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45215</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45215</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45215</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45215</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45215</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45215</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45215</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45215</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45215</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45215</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45215</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45215</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45215</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45215</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45215</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45215</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45215</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45215</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45215</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45215</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45215</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45215</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45215</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45215</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45215</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45215</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45215</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45215</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45215</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45215</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45215</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45215</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45215</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45215</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45215</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45215</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45215</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45215</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45215</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45215</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45215</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45215</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45215</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45215</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45215</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45215</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45215</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45215</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45215</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45215</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45215</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45215</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45215</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45215</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45215</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45215</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45215</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45215</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45215</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45215</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45215</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45215</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45215</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45215</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45215</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45215</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45215</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45215</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45215</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45215</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45215</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45215</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45215</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45215</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45215</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45215</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45215</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45215</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45215</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45215</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45215</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45215</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45215</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45215</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45215</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45215</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45215</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45215</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45215</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45215</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45215</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45215</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45215</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45215</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45215</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45215</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45215</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45215</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45215</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45215</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45215</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45215</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45215</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45215</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45215</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45215</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45215</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45215</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45215</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45215</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45215</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45215</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45215</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45215</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45215</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45215</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45215</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45215</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45215</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45215</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45215</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45215</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45215</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45215</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45215</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45215</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45215</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45215</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45215</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45215</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45215</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45215</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45215</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45215</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45215</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45215</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45215</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45215</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45215</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45215</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45215</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45215</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45215</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45215</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45215</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45215</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45215</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45215</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45215</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45215</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45215</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45215</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45215</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45215</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45215</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45215</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45215</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45215</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45215</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45215</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45215</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45215</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45215</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45215</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45215</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45215</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45215</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45215</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45215</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45215</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45215</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45215</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45215</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45215</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45215</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45215</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45215</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45215</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45215</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45215</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45215</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45215</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45215</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45215</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45215</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45215</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45215</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45215</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45215</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45215</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45215</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45215</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45215</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45215</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45215</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45215</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45215</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45215</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45215</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45215</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45215</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45215</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45215</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45215</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45215</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45215</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45215</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45215</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45215</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45215</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45215</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45215</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45215</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45215</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45215</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45215</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45215</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45215</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45215</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45215</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45215</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45215</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45215</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45215</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45215</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45215</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45215</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45215</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45215</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45215</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45215</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45215</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45215</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45215</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45215</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45215</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45215</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45215</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45215</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45215</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45215</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45215</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45215</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45215</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45215</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45215</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45215</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45215</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45215</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45215</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45215</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45215</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45215</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45215</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45215</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45215</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45215</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45215</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45215</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45215</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45215</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45215</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45215</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45215</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45215</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45215</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45215</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45215</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45215</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45215</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45215</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45215</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45215</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45215</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45215</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45215</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45215</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45215</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45215</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45215</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45215</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45215</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45215</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45215</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45215</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45215</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45215</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45215</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45215</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45215</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45215</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45215</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45215</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45215</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45215</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45215</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45215</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45215</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45215</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45215</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45215</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45215</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45215</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45215</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45215</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45215</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45215</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45215</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45215</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45215</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45215</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45215</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45215</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45215</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45215</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45215</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45215</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45215</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45215</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45215</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45215</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45215</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45215</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45215</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45215</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45215</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45215</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45215</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45215</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45215</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45215</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45215</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45215</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45215</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45215</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45215</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45215</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45215</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45215</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45215</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45215</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45215</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45215</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45215</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45215</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45215</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45215</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45215</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45215</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45215</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45215</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45215</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45215</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45215</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45215</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45215</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45215</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45215</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45215</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45215</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45215</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45215</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45215</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45215</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45215</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45215</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45215</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45215</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45215</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45215</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45215</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45215</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45215</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45215</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45215</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45215</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45215</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45215</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45215</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45215</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45215</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45215</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45215</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45215</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45215</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45215</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45215</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45215</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45215</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45215</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45215</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45215</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45215</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45215</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45215</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45215</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45215</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45215</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45215</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45215</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45215</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45215</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45215</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45215</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45215</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45215</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45215</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45215</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45215</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45215</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45215</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45215</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45215</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45215</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45215</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45215</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45215</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45215</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45215</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45215</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45215</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45215</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45215</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45215</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45215</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45215</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45215</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45215</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45215</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45215</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45215</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45215</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45215</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45215</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45215</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45215</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45215</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45215</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45215</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45215</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45215</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45215</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45215</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45215</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45215</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45215</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45215</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45215</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45215</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45215</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45215</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45215</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45215</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45215</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45215</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45215</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45215</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45215</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45215</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45215</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45215</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45215</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45215</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45215</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45215</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45215</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45215</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45215</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45215</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45215</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45215</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45215</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45215</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45215</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45215</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45215</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45215</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45215</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45215</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45215</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45215</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45215</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45215</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45215</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45215</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45215</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45215</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45215</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45215</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45215</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45215</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45215</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45215</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45215</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45215</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45215</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45215</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45215</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45215</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45215</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45215</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45215</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45215</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45215</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45215</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45215</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45215</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45215</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45215</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45215</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45215</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45215</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45215</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45215</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45215</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45215</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45215</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45215</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45215</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45215</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45215</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45215</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45215</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45215</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45215</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45215</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45215</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45215</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45215</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45215</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45215</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45215</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45215</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45215</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45215</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45215</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45215</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45215</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45215</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45215</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45215</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45215</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45215</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45215</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45215</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45215</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45215</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45215</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45215</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45215</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45215</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45215</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45215</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45215</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45215</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45215</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45215</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45215</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45215</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45215</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45215</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45215</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45215</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45215</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45215</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45215</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45215</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45215</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45215</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45215</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45215</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45215</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45215</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45215</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45215</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45215</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45215</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45215</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45215</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45215</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45215</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45215</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45215</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45215</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45215</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45215</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45215</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45215</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45215</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45215</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45215</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45215</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45215</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45215</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45215</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45215</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45215</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45215</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45215</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45215</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45215</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45215</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45215</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45215</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45215</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45215</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45215</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45215</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45215</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45215</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45215</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45215</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45215</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45215</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45215</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45215</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45215</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45215</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45215</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45215</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45215</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45215</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45215</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45215</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45215</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45215</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45215</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45215</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45215</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45215</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45215</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45215</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45215</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45215</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45215</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45215</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45215</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45215</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45215</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45215</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45215</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45215</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45215</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45215</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45215</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45215</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45215</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45215</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45215</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45215</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45215</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45215</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45215</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45215</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45215</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45215</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45215</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45215</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45215</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45215</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45215</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45215</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45215</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45215</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45215</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45215</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45215</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45215</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45215</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45215</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45215</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45215</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45215</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45215</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45215</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45215</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45215</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45215</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45215</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45215</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45215</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45215</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45215</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45215</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45215</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45215</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45215</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45215</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45215</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45215</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45215</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45215</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45215</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45215</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45215</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45215</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45215</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45215</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45215</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45215</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45215</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45215</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45215</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45215</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45215</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45215</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45215</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45215</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45215</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45215</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45215</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45215</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45215</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45215</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45215</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45215</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45215</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45215</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45215</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45215</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45215</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45215</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45215</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45215</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45215</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45215</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45215</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45215</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45215</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45215</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45215</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45215</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45215</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45215</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45215</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45215</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45215</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45215</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45215</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45215</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45215</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45215</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45215</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45215</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45215</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45215</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45215</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45215</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45215</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45215</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45215</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45215</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45215</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45215</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45215</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45215</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45215</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45215</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45215</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45215</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45215</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45215</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45215</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45215</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45215</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45215</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45215</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45215</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45215</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45215</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45215</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45215</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45215</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45215</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45215</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45215</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45215</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45215</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45215</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45215</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45215</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45215</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45215</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45215</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45215</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45215</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45215</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45215</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45215</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45215</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45215</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45215</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45215</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45215</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45215</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45215</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45215</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45215</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45215</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45215</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45215</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45215</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45215</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45215</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45215</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45215</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45215</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45215</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45215</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45215</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45215</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45215</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45215</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45215</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45215</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45215</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45215</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45215</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45215</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45215</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45215</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45215</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45215</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45215</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45215</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45215</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45215</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45215</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45215</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45215</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45215</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45215</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45215</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45215</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45215</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45215</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45215</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45215</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45215</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45215</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45215</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45215</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45215</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45215</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45215</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45215</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45215</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45215</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45215</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45215</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45215</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45215</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45215</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45215</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45215</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45215</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45215</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45215</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45215</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45215</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45215</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45215</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45215</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45215</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45215</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45215</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45215</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45215</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45215</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45215</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45215</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45215</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45215</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45215</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45215</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45215</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45215</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45215</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45215</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45215</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45215</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45215</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45215</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45215</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45215</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45215</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45215</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45215</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45215</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45215</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45215</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45215</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45215</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45215</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45215</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45215</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45215</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45215</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45215</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45215</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45215</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45215</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45215</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45215</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45215</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45215</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45215</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45215</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45215</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45215</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45215</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45215</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45215</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45215</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45215</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45215</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45215</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45215</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45215</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45215</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45215</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45215</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45215</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45215</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45215</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45215</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45215</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45215</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45215</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45215</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45215</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45215</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45215</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45215</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45215</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45215</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45215</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45215</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45215</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45215</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45215</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45215</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45215</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45215</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45215</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45215</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45215</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45215</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45215</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45215</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45215</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45215</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45215</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45215</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45215</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45215</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45215</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45215</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45215</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45215</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45215</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45215</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45215</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45215</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45215</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45215</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45215</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45215</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45215</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45215</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45215</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45215</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45215</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45215</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45215</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45215</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45215</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45215</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45215</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45215</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45215</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45215</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45215</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45215</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45215</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45215</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45215</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45215</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45215</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45215</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45215</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45215</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45215</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45215</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45215</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45215</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45215</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45215</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45215</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45215</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45215</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45215</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45215</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45215</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45215</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45215</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45215</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45215</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45215</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45215</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45215</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45215</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45215</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45215</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45215</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45215</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45215</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45215</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45215</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45215</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45215</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45215</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45215</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45215</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45215</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45215</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45215</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45215</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45215</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45215</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45215</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45215</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45215</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45215</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45215</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45215</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45215</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45215</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45215</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45215</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45215</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45215</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45215</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45215</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45215</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45215</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45215</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45215</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45215</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45215</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45215</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45215</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45215</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45215</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45215</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45215</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45215</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45215</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45215</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45215</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45215</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45215</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45215</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45215</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45215</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45215</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45215</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45215</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45215</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45215</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45215</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45215</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45215</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45215</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45215</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45215</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45215</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45215</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45215</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45215</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45215</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45215</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45215</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45215</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45215</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45215</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45215</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45215</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45215</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45215</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45215</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45215</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45215</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45215</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45215</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45215</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45215</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45215</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45215</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45215</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45215</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45215</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45215</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45215</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45215</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45215</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45215</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45215</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45215</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45215</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45215</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45215</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45215</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45215</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45215</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45215</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45215</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45215</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45215</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45215</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45215</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45215</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45215</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45215</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45215</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45215</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45215</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45215</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45215</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45215</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45215</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45215</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45215</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45215</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45215</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45215</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45215</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45215</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45215</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45215</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45215</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45215</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45215</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45215</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45215</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45215</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45215</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45215</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45215</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45215</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45215</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45215</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45215</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45215</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45215</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45215</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45215</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45215</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45215</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45215</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45215</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45215</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45215</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45215</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45215</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45215</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45215</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45215</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45215</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45215</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45215</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45215</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45215</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45215</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45215</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45215</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45215</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45215</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45215</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45215</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45215</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45215</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45215</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45215</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45215</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45215</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45215</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45215</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45215</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45215</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45215</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45215</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45215</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45215</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45215</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45215</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45215</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45215</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45215</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45215</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45215</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45215</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45215</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45215</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45215</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45215</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45215</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45215</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45215</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45215</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45215</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45215</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45215</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45215</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45215</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45215</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45215</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45215</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45215</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45215</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45215</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45215</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45215</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45215</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45215</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45215</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45215</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45215</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45215</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45215</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45215</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45215</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45215</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45215</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45215</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45215</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45215</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45215</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45215</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45215</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45215</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45215</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45215</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45215</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45215</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45215</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45215</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45215</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45215</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45215</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45215</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45215</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45215</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45215</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45215</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45215</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45215</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45215</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45215</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45215</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45215</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45215</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45215</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45215</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45215</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45215</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45215</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45215</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45215</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45215</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45215</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45215</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45215</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45215</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45215</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45215</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45215</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45215</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45215</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45215</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45215</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45215</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45215</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45215</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45215</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45215</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45215</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45215</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45215</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45215</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45215</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45215</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45215</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45215</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45215</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45215</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45215</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45215</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45215</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45215</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45215</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45215</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45215</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45215</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45215</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45215</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45215</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45215</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45215</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45215</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45215</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45215</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45215</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45215</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45215</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45215</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45215</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45215</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45215</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45215</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45215</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45215</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45215</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45215</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45215</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45215</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45215</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45215</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45215</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45215</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45215</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45215</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45215</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45215</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45215</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45215</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45215</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45215</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45215</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45215</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45215</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45215</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45215</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45215</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45215</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45215</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45215</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45215</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45215</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45215</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45215</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45215</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45215</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45215</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45215</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45215</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45215</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45215</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45215</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45215</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45215</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45215</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45215</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45215</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45215</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45215</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45215</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45215</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45215</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45215</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45215</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45215</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45215</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45215</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45215</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45215</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45215</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45215</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45215</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45215</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45215</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45215</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45215</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45215</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45215</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45215</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45215</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45215</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45215</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45215</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45215</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45215</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45215</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45215</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45215</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45215</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45215</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45215</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45215</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45215</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45215</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45215</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45215</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45215</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45215</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45215</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45215</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45215</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45215</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45215</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45215</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45215</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45215</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45215</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45215</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45215</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45215</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45215</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45215</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45215</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45215</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45215</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45215</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45215</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45215</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45215</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45215</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45215</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45215</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45215</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45215</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45215</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45215</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45215</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45215</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45215</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45215</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45215</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45215</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45215</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45215</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45215</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45215</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45215</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45215</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45215</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45215</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45215</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45215</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45215</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45215</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45215</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45215</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45215</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45215</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45215</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45215</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45215</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45215</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45215</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45215</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45215</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45215</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45215</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45215</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45215</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45215</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45215</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45215</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45215</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45215</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45215</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45215</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45215</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45215</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45215</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45215</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45215</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45215</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45215</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45215</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45215</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45215</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45215</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45215</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45215</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45215</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45215</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45215</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45215</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45215</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45215</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45215</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45215</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45215</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45215</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45215</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45215</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45215</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45215</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45215</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45215</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45215</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45215</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45215</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45215</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45215</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45215</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45215</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45215</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45215</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45215</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45215</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45215</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45215</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45215</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45215</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45215</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45215</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45215</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45215</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45215</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45215</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45215</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45215</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45215</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45215</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45215</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45215</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45215</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45215</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45215</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45215</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45215</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45215</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45215</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45215</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45215</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45215</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45215</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45215</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45215</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45215</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45215</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45215</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45215</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45215</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45215</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45215</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45215</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45215</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45215</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45215</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45215</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45215</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45215</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45215</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45215</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45215</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45215</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45215</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45215</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45215</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45215</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45215</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45215</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45215</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45215</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45215</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45215</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45215</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45215</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45215</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45215</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45215</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45215</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45215</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45215</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45215</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45215</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45215</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45215</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45215</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45215</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45215</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45215</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45215</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45215</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45215</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45215</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45215</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45215</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45215</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45215</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45215</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45215</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45215</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45215</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45215</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45215</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45215</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45215</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45215</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45215</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45215</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45215</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45215</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45215</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45215</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45215</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45215</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45215</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45215</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45215</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45215</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45215</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45215</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45215</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45215</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45215</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45215</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45215</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45215</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45215</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45215</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45215</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45215</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45215</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45215</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45215</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45215</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45215</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45215</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45215</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45215</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45215</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45215</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45215</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45215</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45215</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45215</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45215</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45215</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45215</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45215</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45215</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45215</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45215</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45215</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45215</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45215</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45215</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45215</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45215</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45215</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45215</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45215</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45215</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45215</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45215</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45215</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45215</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45215</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45215</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45215</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45215</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45215</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45215</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45215</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45215</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45215</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45215</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45215</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45215</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45215</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45215</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45215</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45215</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45215</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45215</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45215</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45215</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45215</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45215</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45215</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45215</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45215</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45215</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45215</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45215</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45215</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45215</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45215</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45215</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45215</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45215</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45215</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45215</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45215</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45215</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45215</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45215</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45215</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45215</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45215</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45215</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45215</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45215</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45215</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45215</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45215</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45215</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45215</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45215</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45215</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45215</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45215</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45215</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45215</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45215</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45215</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45215</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45215</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45215</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45215</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45215</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45215</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45215</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45215</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45215</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45215</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45215</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45215</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45215</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45215</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45215</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45215</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45215</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45215</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45215</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45215</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45215</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45215</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45215</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45215</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45215</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45215</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45215</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45215</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45215</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45215</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45215</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45215</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45215</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45215</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45215</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45215</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45215</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45215</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45215</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45215</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45215</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45215</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45215</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45215</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45215</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45215</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45215</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45215</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45215</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45215</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45215</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45215</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45215</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45215</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45215</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45215</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45215</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45215</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45215</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45215</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45215</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45215</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45215</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45215</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45215</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45215</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45215</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45215</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45215</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45215</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45215</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45215</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45215</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45215</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45215</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45215</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45215</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45215</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45215</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45215</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45215</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45215</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45215</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45215</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45215</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45215</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45215</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45215</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45215</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45215</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45215</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45215</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45215</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45215</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45215</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45215</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45215</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45215</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45215</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45215</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45215</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45215</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45215</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45215</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45215</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45215</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45215</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45215</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45215</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45215</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45215</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45215</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45215</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45215</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45215</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45215</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45215</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45215</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45215</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45215</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45215</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45215</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45215</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45215</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45215</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45215</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45215</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45215</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45215</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45215</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45215</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45215</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45215</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45215</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45215</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45215</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45215</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45215</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45215</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45215</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45215</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45215</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45215</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45215</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45215</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45215</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45215</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45215</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45215</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45215</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45215</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45215</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45215</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45215</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45215</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45215</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45215</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45215</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45215</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45215</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45215</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45215</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45215</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45215</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45215</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45215</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45215</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45215</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45215</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45215</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45215</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45215</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45215</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45215</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45215</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45215</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45215</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45215</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45215</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45215</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45215</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45215</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45215</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45215</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45215</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45215</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45215</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45215</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45215</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45215</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45215</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45215</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45215</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45215</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45215</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45215</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45215</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45215</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45215</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45215</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45215</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45215</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45215</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45215</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45215</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45215</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45215</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45215</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45215</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45215</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45215</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45215</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45215</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45215</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45215</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45215</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45215</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45215</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45215</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45215</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45215</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45215</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45215</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45215</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45215</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45215</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45215</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45215</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45215</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45215</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45215</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45215</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45215</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45215</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45215</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45215</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45215</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45215</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45215</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45215</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45215</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45215</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45215</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45215</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45215</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45215</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45215</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45215</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45215</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45215</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45215</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45215</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45215</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45215</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45215</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45215</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45215</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45215</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45215</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45215</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45215</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45215</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45215</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45215</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45215</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45215</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45215</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45215</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45215</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45215</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45215</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45215</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45215</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45215</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45215</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45215</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45215</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45215</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45215</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45215</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45215</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45215</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45215</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45215</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45215</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45215</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45215</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45215</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45215</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45215</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45215</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45215</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45215</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45215</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45215</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45215</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45215</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45215</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45215</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45215</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45215</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45215</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45215</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45215</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45215</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45215</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45215</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45215</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45215</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45215</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45215</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45215</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45215</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45215</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45215</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45215</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45215</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45215</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45215</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45215</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45215</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45215</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45215</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45215</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45215</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45215</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45215</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45215</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45215</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45215</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45215</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45215</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45215</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45215</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45215</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45215</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45215</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45215</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45215</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45215</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45215</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45215</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45215</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45215</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45215</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45215</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45215</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45215</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45215</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45215</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45215</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45215</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45215</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45215</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45215</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45215</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45215</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45215</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45215</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45215</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45215</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45215</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45215</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45215</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45215</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45215</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45215</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45215</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45215</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45215</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45215</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45215</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45215</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45215</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45215</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45215</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45215</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45215</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45215</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45215</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45215</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45215</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45215</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45215</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45215</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45215</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45215</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45215</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45215</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45215</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45215</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45215</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45215</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45215</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45215</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45215</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45215</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45215</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45215</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45215</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45215</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45215</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45215</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45215</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45215</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45215</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45215</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45215</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45215</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45215</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45215</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45215</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45215</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45215</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45215</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45215</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45215</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45215</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45215</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45215</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45215</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45215</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45215</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45215</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45215</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45215</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45215</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45215</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45215</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45215</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45215</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45215</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45215</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45215</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45215</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45215</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45215</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45215</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45215</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45215</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45215</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45215</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45215</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45215</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45215</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45215</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45215</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45215</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45215</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45215</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45215</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45215</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45215</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45215</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45215</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45215</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45215</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45215</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45215</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45215</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45215</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45215</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45215</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45215</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45215</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45215</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45215</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45215</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45215</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45215</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45215</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45215</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45215</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45215</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45215</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45215</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45215</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45215</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45215</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45215</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45215</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45215</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45215</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45215</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45215</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45215</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45215</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45215</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45215</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45215</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45215</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45215</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45215</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45215</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45215</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45215</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45215</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45215</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45215</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45215</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45215</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45215</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45215</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45215</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45215</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45215</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45215</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45215</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45215</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45215</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45215</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45215</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45215</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45215</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45215</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45215</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45215</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45215</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45215</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45215</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45215</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45215</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45215</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45215</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45215</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45215</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45215</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45215</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45215</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45215</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45215</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45215</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45215</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45215</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45215</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45215</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45215</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45215</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45215</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45215</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45215</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45215</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45215</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45215</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45215</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45215</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45215</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45215</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45215</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45215</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45215</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45215</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45215</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45215</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45215</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45215</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45215</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45215</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45215</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45215</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45215</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45215</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45215</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45215</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45215</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45215</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45215</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45215</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45215</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45215</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45215</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45215</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45215</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45215</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45215</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45215</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45215</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45215</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45215</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45215</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45215</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45215</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45215</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45215</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45215</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45215</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45215</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45215</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45215</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45215</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45215</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45215</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45215</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45215</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45215</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45215</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45215</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45215</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45215</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45215</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45215</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45215</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45215</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45215</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45215</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45215</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45215</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45215</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45215</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45215</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45215</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45215</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45215</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45215</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45215</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45215</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45215</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45215</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45215</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45215</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45215</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45215</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45215</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45215</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45215</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45215</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45215</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45215</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45215</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45215</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45215</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45215</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45215</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45215</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45215</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45215</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45215</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45215</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45215</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45215</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45215</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45215</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45215</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45215</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45215</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45215</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45215</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45215</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45215</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45215</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45215</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45215</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45215</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45215</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45215</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45215</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45215</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45215</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45215</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45215</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45215</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45215</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45215</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45215</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45215</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45215</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45215</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45215</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45215</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45215</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45215</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45215</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45215</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45215</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45215</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45215</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45215</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45215</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45215</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45215</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45215</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45215</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45215</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45215</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45215</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45215</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45215</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45215</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45215</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45215</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45215</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45215</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45215</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45215</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45215</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45215</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45215</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45215</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45215</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45215</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45215</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45215</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45215</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45215</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45215</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45215</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45215</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45215</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45215</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45215</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45215</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45215</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45215</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45215</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45215</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45215</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45215</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45215</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45215</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45215</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45215</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45215</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45215</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45215</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45215</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45215</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45215</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45215</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45215</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45215</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45215</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45215</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45215</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45215</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45215</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45215</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45215</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45215</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45215</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45215</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45215</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45215</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45215</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45215</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45215</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45215</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45215</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45215</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45215</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45215</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45215</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45215</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45215</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45215</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45215</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45215</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45215</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45215</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45215</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45215</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45215</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45215</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45215</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45215</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45215</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45215</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45215</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45215</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45215</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45215</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45215</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45215</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45215</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45215</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45215</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45215</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45215</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45215</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45215</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45215</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45215</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45215</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45215</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45215</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45215</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45215</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45215</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45215</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45215</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45215</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45215</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45215</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45215</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45215</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45215</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45215</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45215</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45215</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45215</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45215</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45215</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45215</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45215</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45215</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45215</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45215</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45215</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45215</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45215</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45215</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45215</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45215</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45215</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45215</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45215</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45215</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45215</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45215</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45215</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45215</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45215</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45215</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45215</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45215</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45215</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45215</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45215</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45215</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45215</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45215</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45215</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45215</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45215</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45215</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45215</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45215</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45215</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45215</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45215</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45215</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45215</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45215</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45215</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45215</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45215</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45215</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45215</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45215</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45215</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45215</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45215</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45215</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45215</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45215</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45215</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45215</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45215</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45215</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45215</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45215</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45215</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45215</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45215</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45215</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45215</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45215</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45215</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45215</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45215</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45215</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45215</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45215</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45215</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45215</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45215</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45215</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45215</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45215</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45215</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45215</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45215</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45215</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45215</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45215</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45215</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45215</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45215</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45215</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45215</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45215</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45215</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45215</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45215</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45215</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45215</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45215</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45215</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45215</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45215</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45215</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45215</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45215</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45215</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45215</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45215</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45215</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45215</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45215</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45215</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45215</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45215</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45215</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45215</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45215</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45215</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45215</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45215</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45215</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45215</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45215</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45215</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45215</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45215</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45215</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45215</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45215</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45215</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45215</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45215</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45215</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45215</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45215</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45215</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45215</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45215</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45215</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45215</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45215</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45215</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45215</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45215</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45215</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45215</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45215</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45215</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45215</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45215</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45215</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45215</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45215</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45215</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45215</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45215</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45215</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45215</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45215</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45215</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45215</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45215</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45215</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45215</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45215</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45215</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45215</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45215</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45215</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45215</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45215</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45215</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45215</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45215</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45215</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45215</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45215</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45215</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45215</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45215</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45215</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45215</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45215</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45215</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45215</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45215</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45215</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45215</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45215</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45215</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45215</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45215</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45215</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45215</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45215</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45215</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45215</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45215</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45215</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45215</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45215</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45215</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45215</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45215</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45215</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45215</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45215</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45215</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45215</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45215</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45215</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45215</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45215</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45215</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45215</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45215</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45215</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45215</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45215</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45215</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45215</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45215</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45215</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45215</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45215</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45215</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45215</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45215</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45215</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45215</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45215</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45215</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45215</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45215</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45215</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45215</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45215</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45215</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45215</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45215</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45215</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45215</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45215</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45215</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45215</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45215</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45215</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45215</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45215</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45215</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45215</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45215</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45215</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45215</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45215</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45215</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45215</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45215</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45215</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45215</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45215</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45215</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45215</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45215</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45215</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45215</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45215</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45215</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45215</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45215</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45215</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45215</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45215</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45215</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45215</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45215</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45215</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45215</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45215</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45215</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45215</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45215</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45215</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45215</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45215</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45215</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45215</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45215</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45215</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45215</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45215</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45215</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45215</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45215</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45215</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45215</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45215</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45215</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45215</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45215</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45215</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45215</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45215</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45215</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45215</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45215</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45215</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45215</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45215</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45215</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45215</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45215</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45215</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45215</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45215</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45215</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45215</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45215</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45215</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45215</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45215</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45215</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45215</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45215</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45215</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45215</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45215</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45215</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45215</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45215</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45215</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45215</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45215</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45215</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45215</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45215</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45215</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45215</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45215</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45215</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45215</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45215</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45215</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45215</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45215</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45215</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45215</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45215</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45215</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45215</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45215</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45215</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45215</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45215</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45215</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45215</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45215</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45215</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45215</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45215</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45215</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45215</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45215</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45215</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45215</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45215</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45215</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45215</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45215</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45215</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45215</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45215</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45215</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45215</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45215</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45215</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45215</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45215</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45215</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45215</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45215</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45215</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45215</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45215</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45215</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45215</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45215</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45215</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45215</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45215</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45215</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45215</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45215</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45215</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45215</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45215</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45215</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45215</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45215</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45215</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45215</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45215</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45215</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45215</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45215</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45215</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45215</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45215</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45215</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45215</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45215</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45215</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45215</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45215</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45215</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45215</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45215</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45215</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45215</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45215</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45215</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45215</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45215</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45215</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45215</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45215</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45215</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45215</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45215</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45215</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45215</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45215</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45215</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45215</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45215</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45215</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45215</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45215</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45215</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45215</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45215</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45215</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45215</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45215</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45215</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45215</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45215</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45215</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45215</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45215</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45215</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45215</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45215</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45215</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45215</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45215</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45215</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45215</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45215</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45215</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45215</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45215</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45215</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45215</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45215</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45215</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45215</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45215</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45215</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45215</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45215</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45215</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45215</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45215</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45215</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45215</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45215</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45215</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45215</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45215</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45215</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45215</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45215</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45215</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45215</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45215</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45215</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45215</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45215</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45215</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45215</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45215</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45215</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45215</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45215</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45215</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45215</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45215</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45215</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45215</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45215</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45215</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45215</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45215</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45215</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45215</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45215</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45215</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45215</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45215</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45215</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45215</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45215</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45215</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45215</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45215</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45215</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45215</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45215</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45215</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45215</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45215</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45215</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45215</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45215</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45215</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45215</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45215</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45215</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45215</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45215</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45215</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45215</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45215</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45215</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45215</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45215</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45215</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45215</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45215</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45215</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45215</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45215</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45215</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45215</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45215</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45215</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45215</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45215</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45215</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45215</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45215</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45215</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45215</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45215</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45215</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45215</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45215</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45215</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45215</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45215</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45215</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45215</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45215</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45215</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45215</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45215</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45215</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45215</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45215</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45215</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45215</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45215</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45215</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45215</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45215</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45215</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45215</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45215</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45215</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45215</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45215</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45215</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45215</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45215</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45215</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45215</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45215</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45215</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45215</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45215</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45215</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45215</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45215</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45215</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45215</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45215</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45215</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45215</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45215</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45215</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45215</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45215</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45215</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45215</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45215</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45215</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45215</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45215</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45215</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45215</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45215</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45215</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45215</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45215</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45215</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45215</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45215</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45215</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45215</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45215</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45215</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45215</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45215</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45215</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45215</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45215</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45215</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45215</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45215</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45215</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45215</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45215</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45215</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45215</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45215</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45215</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45215</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45215</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45215</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45215</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45215</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45215</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45215</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45215</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45215</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45215</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45215</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45215</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45215</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45215</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45215</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45215</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45215</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45215</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45215</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45215</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45215</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45215</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45215</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45215</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45215</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45215</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45215</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45215</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45215</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45215</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45215</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45215</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45215</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45215</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45215</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45215</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45215</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45215</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45215</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45215</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45215</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45215</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45215</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45215</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45215</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45215</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45215</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45215</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45215</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45215</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45215</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45215</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45215</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45215</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45215</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45215</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45215</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45215</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45215</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45215</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45215</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45215</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45215</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45215</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45215</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45215</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45215</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45215</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45215</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45215</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45215</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45215</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45215</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45215</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45215</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45215</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45215</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45215</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45215</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45215</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45215</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45215</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45215</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45215</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45215</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45215</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45215</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45215</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45215</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45215</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45215</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45215</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45215</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45215</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45215</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45215</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45215</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45215</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45215</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45215</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45215</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45215</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45215</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45215</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45215</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45215</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45215</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45215</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45215</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45215</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45215</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45215</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45215</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45215</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45215</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45215</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45215</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45215</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45215</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45215</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45215</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45215</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45215</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45215</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45215</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45215</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45215</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45215</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45215</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45215</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45215</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45215</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45215</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45215</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45215</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45215</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45215</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45215</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45215</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45215</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45215</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45215</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45215</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45215</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45215</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45215</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45215</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45215</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45215</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45215</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45215</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45215</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45215</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45215</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45215</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45215</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45215</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45215</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45215</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45215</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45215</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45215</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45215</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45215</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45215</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45215</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45215</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45215</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45215</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45215</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45215</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45215</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45215</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45215</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45215</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45215</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45215</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45215</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45215</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45215</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45215</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45215</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45215</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45215</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45215</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45215</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45215</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45215</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45215</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45215</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45215</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45215</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45215</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45215</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45215</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45215</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45215</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45215</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45215</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45215</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45215</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45215</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45215</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45215</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45215</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45215</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45215</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45215</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45215</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45215</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45215</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45215</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45215</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45215</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45215</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45215</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45215</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45215</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45215</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45215</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45215</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45215</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45215</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45215</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45215</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45215</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45215</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45215</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45215</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45215</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45215</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45215</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45215</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45215</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45215</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45215</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45215</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45215</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45215</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45215</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45215</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45215</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45215</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45215</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45215</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45215</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45215</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45215</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45215</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45215</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45215</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45215</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45215</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45215</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45215</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45215</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45215</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45215</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45215</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45215</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45215</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45215</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45215</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45215</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45215</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45215</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45215</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45215</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45215</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45215</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45215</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45215</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45215</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45215</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45215</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45215</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45215</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45215</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45215</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45215</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45215</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45215</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45215</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45215</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45215</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45215</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45215</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45215</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45215</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45215</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45215</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45215</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45215</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45215</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45215</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45215</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45215</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45215</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45215</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45215</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45215</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45215</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45215</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45215</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45215</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45215</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45215</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45215</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45215</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45215</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45215</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45215</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45215</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45215</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45215</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45215</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45215</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45215</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45215</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45215</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45215</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45215</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45215</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45215</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45215</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45215</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45215</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45215</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45215</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45215</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45215</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45215</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45215</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45215</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45215</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45215</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45215</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45215</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45215</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45215</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45215</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45215</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45215</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45215</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45215</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45215</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45215</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45215</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45215</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45215</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45215</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45215</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45215</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45215</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45215</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45215</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45215</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45215</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45215</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45215</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45215</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45215</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45215</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45215</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45215</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45215</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45215</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45215</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45215</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45215</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45215</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45215</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45215</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45215</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45215</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45215</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45215</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45215</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45215</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45215</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45215</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45215</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45215</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45215</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45215</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45215</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45215</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45215</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45215</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45215</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45215</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45215</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45215</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45215</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45215</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45215</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45215</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45215</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45215</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45215</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45215</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45215</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45215</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45215</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45215</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45215</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45215</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45215</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45215</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45215</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45215</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45215</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45215</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45215</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45215</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45215</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45215</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45215</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45215</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45215</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45215</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45215</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45215</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45215</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45215</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45215</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45215</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45215</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45215</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45215</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45215</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45215</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45215</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45215</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45215</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45215</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45215</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45215</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45215</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45215</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45215</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45215</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45215</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45215</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45215</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45215</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45215</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45215</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45215</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45215</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45215</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45215</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45215</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45215</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45215</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45215</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45215</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45215</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45215</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45215</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45215</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45215</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45215</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45215</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45215</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45215</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45215</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45215</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45215</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45215</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45215</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45215</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45215</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45215</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45215</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45215</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45215</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45215</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45215</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45215</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45215</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45215</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45215</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45215</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45215</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45215</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45215</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45215</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45215</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45215</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45215</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45215</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45215</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45215</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45215</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45215</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45215</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45215</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45215</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45215</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45215</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45215</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45215</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45215</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45215</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45215</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45215</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45215</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45215</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45215</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45215</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45215</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45215</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45215</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45215</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45215</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45215</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45215</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45215</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45215</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45215</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45215</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45215</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45215</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45215</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45215</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45215</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45215</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45215</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45215</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45215</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45215</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45215</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45215</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45215</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45215</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45215</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45215</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45215</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45215</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45215</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45215</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45215</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45215</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45215</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45215</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45215</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45215</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45215</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45215</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45215</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45215</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45215</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45215</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45215</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45215</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45215</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45215</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45215</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45215</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45215</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45215</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45215</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45215</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45215</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45215</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45215</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45215</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45215</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45215</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45215</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45215</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45215</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45215</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45215</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45215</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45215</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45215</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45215</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45215</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45215</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45215</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45215</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45215</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45215</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45215</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45215</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45215</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45215</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45215</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45215</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45215</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45215</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45215</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45215</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45215</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45215</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45215</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45215</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45215</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45215</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45215</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45215</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45215</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45215</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45215</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45215</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45215</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45215</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45215</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45215</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45215</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45215</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45215</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45215</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45215</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45215</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45215</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45215</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45215</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45215</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45215</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45215</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45215</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45215</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45215</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45215</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45215</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45215</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45215</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45215</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45215</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45215</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45215</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45215</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45215</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45215</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45215</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45215</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45215</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45215</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45215</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45215</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45215</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45215</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45215</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45215</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45215</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45215</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45215</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45215</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45215</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45215</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45215</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45215</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45215</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45215</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45215</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45215</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45215</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45215</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45215</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45215</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45215</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45215</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45215</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45215</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45215</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45215</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45215</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45215</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45215</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45215</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45215</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45215</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45215</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45215</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45215</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45215</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45215</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45215</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45215</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45215</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45215</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45215</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45215</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45215</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45215</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45215</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45215</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45215</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45215</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45215</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45215</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45215</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45215</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45215</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45215</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45215</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45215</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45215</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45215</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45215</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45215</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45215</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45215</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45215</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45215</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45215</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45215</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45215</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45215</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45215</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45215</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45215</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45215</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45215</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45215</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45215</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45215</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45215</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45215</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45215</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45215</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45215</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45215</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45215</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45215</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45215</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45215</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45215</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45215</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45215</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45215</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45215</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45215</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45215</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45215</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45215</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45215</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45215</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45215</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45215</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45215</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45215</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45215</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45215</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45215</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45215</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45215</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45215</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45215</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45215</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45215</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45215</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45215</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45215</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45215</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45215</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45215</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45215</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45215</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45215</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45215</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45215</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45215</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45215</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45215</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45215</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45215</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45215</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45215</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45215</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45215</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45215</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45215</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45215</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45215</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45215</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45215</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45215</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45215</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45215</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45215</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45215</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45215</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45215</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45215</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45215</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45215</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45215</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45215</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45215</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45215</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45215</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45215</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45215</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45215</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45215</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45215</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45215</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45215</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45215</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45215</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45215</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45215</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45215</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45215</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45215</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45215</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45215</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45215</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45215</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45215</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45215</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45215</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45215</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45215</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45215</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45215</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45215</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45215</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45215</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45215</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45215</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45215</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45215</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45215</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45215</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45215</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45215</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45215</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45215</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45215</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45215</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45215</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45215</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45215</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45215</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45215</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45215</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45215</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45215</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45215</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45215</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45215</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45215</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45215</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45215</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45215</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45215</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45215</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45215</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45215</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45215</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45215</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45215</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45215</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45215</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45215</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45215</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45215</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45215</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45215</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45215</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45215</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45215</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45215</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45215</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45215</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45215</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45215</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45215</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45215</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45215</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45215</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45215</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45215</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45215</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45215</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45215</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45215</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45215</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45215</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45215</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45215</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45215</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45215</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45215</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45215</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45215</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45215</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45215</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45215</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45215</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45215</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45215</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45215</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45215</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45215</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45215</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45215</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45215</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45215</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45215</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45215</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45215</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45215</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45215</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45215</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45215</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45215</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45215</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45215</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45215</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45215</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45215</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45215</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45215</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45215</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45215</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45215</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45215</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45215</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45215</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45215</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45215</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45215</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45215</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45215</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45215</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45215</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45215</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45215</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45215</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45215</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45215</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45215</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45215</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45215</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45215</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45215</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45215</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45215</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45215</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45215</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45215</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45215</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45215</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45215</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45215</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45215</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45215</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45215</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45215</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45215</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45215</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45215</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45215</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45215</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45215</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45215</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45215</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45215</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45215</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45215</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45215</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45215</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45215</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45215</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45215</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45215</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45215</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45215</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45215</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45215</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45215</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45215</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45215</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45215</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45215</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45215</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45215</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45215</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45215</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45215</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45215</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45215</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45215</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45215</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45215</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45215</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45215</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45215</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45215</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45215</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45215</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45215</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45215</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45215</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45215</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45215</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45215</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45215</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45215</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45215</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45215</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45215</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45215</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45215</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45215</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45215</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45215</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45215</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45215</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45215</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45215</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45215</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45215</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45215</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45215</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45215</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45215</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45215</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45215</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45215</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45215</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45215</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45215</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45215</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45215</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45215</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45215</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45215</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45215</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45215</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45215</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45215</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45215</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45215</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45215</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45215</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45215</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45215</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45215</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45215</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45215</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45215</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45215</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45215</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45215</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45215</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45215</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45215</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45215</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45215</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45215</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45215</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45215</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45215</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45215</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45215</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45215</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45215</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45215</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45215</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45215</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45215</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45215</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45215</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45215</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45215</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45215</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45215</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45215</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45215</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45215</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45215</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45215</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45215</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45215</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45215</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45215</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45215</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45215</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45215</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45215</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45215</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45215</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45215</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45215</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45215</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45215</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45215</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45215</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45215</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45215</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45215</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45215</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45215</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45215</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45215</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45215</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45215</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45215</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45215</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45215</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45215</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45215</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45215</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45215</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45215</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45215</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45215</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45215</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45215</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45215</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45215</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45215</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45215</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45215</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45215</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45215</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45215</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45215</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45215</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45215</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45215</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45215</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45215</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45215</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45215</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45215</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45215</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45215</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45215</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45215</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45215</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45215</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45215</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45215</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45215</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45215</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45215</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45215</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45215</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45215</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45215</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45215</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45215</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45215</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45215</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45215</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45215</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45215</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45215</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45215</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45215</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45215</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45215</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45215</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45215</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45215</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45215</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45215</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45215</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45215</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45215</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45215</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45215</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45215</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45215</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45215</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45215</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45215</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45215</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45215</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45215</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45215</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45215</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45215</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45215</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45215</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45215</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45215</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45215</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45215</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45215</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45215</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45215</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45215</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45215</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45215</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45215</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45215</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45215</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45215</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45215</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45215</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45215</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45215</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45215</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45215</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45215</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45215</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45215</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45215</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45215</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45215</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45215</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45215</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45215</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45215</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45215</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45215</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45215</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45215</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45215</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45215</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45215</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45215</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45215</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45215</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45215</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45215</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45215</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45215</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45215</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45215</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45215</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45215</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45215</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45215</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45215</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45215</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45215</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45215</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45215</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45215</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45215</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45215</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45215</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45215</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45215</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45215</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45215</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45215</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45215</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45215</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45215</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45215</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45215</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45215</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45215</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45215</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45215</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45215</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45215</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45215</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45215</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45215</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45215</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45215</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45215</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45215</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45215</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45215</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45215</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45215</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45215</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45215</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45215</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45215</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45215</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45215</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45215</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45215</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45215</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45215</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45215</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45215</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45215</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45215</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45215</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45215</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45215</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45215</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45215</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45215</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45215</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45215</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45215</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45215</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45215</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45215</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45215</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45215</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45215</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45215</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45215</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45215</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45215</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45215</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45215</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45215</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45215</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45215</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45215</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45215</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45215</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45215</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45215</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45215</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45215</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45215</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45215</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45215</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45215</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45215</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45215</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45215</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45215</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45215</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45215</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45215</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45215</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45215</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45215</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45215</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45215</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45215</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45215</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45215</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45215</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45215</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45215</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45215</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45215</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45215</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45215</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45215</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45215</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45215</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45215</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45215</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45215</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45215</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45215</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45215</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45215</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45215</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45215</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45215</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45215</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45215</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45215</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45215</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45215</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45215</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45215</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45215</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45215</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45215</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45215</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45215</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45215</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45215</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45215</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45215</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45215</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45215</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45215</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45215</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45215</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45215</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45215</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45215</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45215</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45215</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45215</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45215</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45215</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45215</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45215</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45215</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45215</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45215</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45215</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45215</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45215</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45215</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45215</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45215</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45215</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45215</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45215</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45215</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45215</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45215</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45215</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45215</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45215</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45215</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45215</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45215</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45215</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45215</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45215</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45215</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45215</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45215</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45215</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45215</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45215</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45215</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45215</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45215</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45215</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45215</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45215</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45215</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45215</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45215</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45215</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45215</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45215</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45215</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45215</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45215</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45215</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45215</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45215</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45215</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45215</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45215</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45215</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45215</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45215</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45215</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45215</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45215</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45215</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45215</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45215</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45215</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45215</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45215</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45215</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45215</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45215</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45215</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45215</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45215</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45215</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45215</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45215</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45215</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45215</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45215</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45215</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45215</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45215</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45215</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45215</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45215</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45215</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45215</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45215</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45215</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45215</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45215</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45215</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45215</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45215</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45215</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45215</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45215</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45215</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45215</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45215</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45215</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45215</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45215</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45215</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45215</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45215</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45215</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45215</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45215</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45215</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45215</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45215</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45215</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45215</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45215</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45215</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45215</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45215</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45215</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45215</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45215</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45215</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45215</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45215</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45215</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45215</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45215</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45215</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45215</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45215</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45215</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45215</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45215</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45215</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45215</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45215</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45215</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45215</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45215</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45215</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45215</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45215</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45215</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45215</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45215</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45215</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45215</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45215</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45215</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45215</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45215</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45215</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45215</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45215</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45215</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45215</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45215</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45215</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45215</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45215</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45215</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45215</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45215</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45215</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45215</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45215</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45215</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45215</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45215</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45215</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45215</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45215</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45215</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45215</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45215</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45215</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45215</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45215</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45215</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45215</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45215</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45215</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45215</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45215</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45215</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45215</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45215</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45215</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45215</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45215</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45215</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45215</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45215</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45215</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45215</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45215</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45215</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45215</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45215</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45215</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45215</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45215</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45215</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45215</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45215</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45215</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45215</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45215</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45215</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45215</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45215</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45215</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45215</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45215</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45215</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45215</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45215</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45215</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45215</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45215</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45215</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45215</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45215</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45215</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45215</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45215</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45215</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45215</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45215</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45215</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45215</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45215</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45215</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45215</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45215</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45215</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45215</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45215</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45215</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45215</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45215</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45215</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45215</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45215</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45215</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45215</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45215</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45215</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45215</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45215</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45215</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45215</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45215</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45215</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45215</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45215</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45215</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45215</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45215</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45215</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45215</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45215</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45215</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45215</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45215</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45215</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45215</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45215</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45215</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45215</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45215</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45215</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45215</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45215</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45215</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45215</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45215</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45215</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45215</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45215</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45215</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45215</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45215</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45215</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45215</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45215</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45215</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45215</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45215</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45215</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45215</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45215</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45215</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45215</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45215</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45215</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45215</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45215</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45215</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45215</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45215</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45215</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45215</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45215</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45215</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45215</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45215</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45215</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45215</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45215</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45215</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45215</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45215</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45215</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45215</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45215</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45215</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45215</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45215</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45215</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45215</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45215</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45215</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45215</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45215</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45215</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45215</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45215</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45215</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45215</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45215</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45215</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45215</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45215</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45215</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45215</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45215</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45215</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45215</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45215</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45215</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45215</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45215</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45215</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45215</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45215</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45215</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45215</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45215</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45215</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45215</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45215</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45215</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45215</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45215</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45215</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45215</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45215</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45215</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45215</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45215</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45215</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45215</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45215</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45215</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45215</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45215</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45215</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45215</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45215</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45215</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45215</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45215</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45215</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45215</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45215</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45215</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45215</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45215</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45215</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45215</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45215</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45215</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45215</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45215</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45215</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45215</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45215</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45215</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45215</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45215</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45215</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45215</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45215</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45215</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45215</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45215</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45215</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45215</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45215</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45215</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45215</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45215</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45215</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45215</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45215</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45215</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45215</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45215</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45215</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45215</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45215</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45215</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45215</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45215</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45215</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45215</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45215</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45215</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45215</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45215</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45215</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45215</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45215</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45215</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45215</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45215</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45215</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45215</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45215</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45215</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45215</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45215</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45215</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45215</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45215</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45215</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45215</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45215</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45215</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45215</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45215</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45215</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45215</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45215</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45215</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45215</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45215</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45215</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45215</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45215</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45215</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45215</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45215</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45215</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45215</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45215</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45215</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45215</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45215</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45215</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45215</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45215</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45215</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45215</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45215</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45215</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45215</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45215</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45215</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45215</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45215</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45215</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45215</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45215</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45215</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45215</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45215</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45215</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45215</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45215</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45215</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45215</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45215</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45215</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45215</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45215</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45215</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45215</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45215</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45215</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45215</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45215</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45215</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45215</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45215</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45215</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45215</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45215</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45215</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45215</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45215</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45215</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45215</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45215</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45215</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45215</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45215</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45215</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45215</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45215</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45215</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45215</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45215</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45215</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45215</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45215</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45215</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45215</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45215</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45215</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45215</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45215</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45215</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45215</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45215</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45215</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45215</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45215</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45215</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45215</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45215</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45215</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45215</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45215</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45215</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45215</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45215</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45215</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45215</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45215</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45215</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45215</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45215</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45215</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45215</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45215</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45215</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45215</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45215</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45215</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45215</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45215</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45215</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45215</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45215</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45215</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45215</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45215</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45215</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45215</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45215</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45215</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45215</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45215</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45215</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45215</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45215</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45215</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45215</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45215</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45215</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45215</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45215</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45215</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45215</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45215</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45215</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45215</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45215</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45215</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45215</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45215</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45215</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45215</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45215</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45215</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45215</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45215</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45215</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45215</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45215</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45215</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45215</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45215</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45215</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45215</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45215</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45215</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45215</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45215</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45215</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45215</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45215</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45215</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45215</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45215</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45215</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45215</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45215</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45215</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45215</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45215</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45215</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45215</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45215</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45215</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45215</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45215</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45215</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45215</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45215</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45215</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45215</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45215</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45215</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45215</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45215</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45215</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45215</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45215</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45215</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45215</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45215</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45215</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45215</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45215</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45215</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45215</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45215</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45215</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45215</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45215</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45215</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45215</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45215</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45215</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45215</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45215</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45215</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45215</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45215</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45215</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45215</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45215</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45215</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45215</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45215</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45215</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45215</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45215</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45215</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45215</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45215</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45215</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45215</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45215</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45215</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45215</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45215</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45215</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45215</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45215</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45215</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45215</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45215</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45215</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45215</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45215</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45215</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45215</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45215</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45215</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45215</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45215</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45215</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45215</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45215</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45215</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45215</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45215</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45215</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45215</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45215</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45215</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45215</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45215</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45215</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45215</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45215</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45215</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45215</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45215</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45215</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45215</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45215</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45215</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45215</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45215</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45215</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45215</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45215</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45215</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45215</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45215</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45215</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45215</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45215</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45215</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45215</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45215</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45215</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45215</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45215</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45215</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45215</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45215</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45215</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45215</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45215</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45215</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45215</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45215</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45215</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45215</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45215</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45215</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45215</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45215</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45215</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45215</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45215</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45215</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45215</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45215</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45215</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45215</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45215</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45215</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45215</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45215</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45215</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45215</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45215</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45215</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45215</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45215</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45215</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45215</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45215</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45215</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45215</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45215</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45215</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45215</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45215</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45215</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45215</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45215</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45215</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45215</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45215</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45215</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45215</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45215</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45215</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45215</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45215</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45215</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45215</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45215</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45215</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45215</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45215</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45215</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45215</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45215</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45215</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45215</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45215</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45215</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45215</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45215</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45215</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45215</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45215</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45215</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45215</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45215</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45215</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45215</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45215</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45215</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45215</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45215</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45215</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45215</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45215</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45215</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45215</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45215</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45215</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45215</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45215</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45215</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45215</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45215</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45215</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45215</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45215</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45215</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45215</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45215</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45215</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45215</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45215</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45215</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45215</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45215</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45215</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45215</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45215</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45215</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45215</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45215</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45215</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45215</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45215</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45215</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45215</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45215</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45215</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45215</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45215</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45215</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45215</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45215</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45215</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45215</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45215</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45215</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45215</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45215</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45215</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45215</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45215</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45215</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45215</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45215</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45215</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45215</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45215</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45215</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45215</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45215</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45215</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45215</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45215</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45215</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45215</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45215</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45215</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45215</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45215</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45215</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45215</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45215</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45215</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45215</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45215</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45215</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45215</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45215</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45215</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45215</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45215</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45215</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45215</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45215</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45215</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45215</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45215</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45215</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45215</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45215</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45215</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45215</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45215</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45215</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45215</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45215</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45215</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45215</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45215</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45215</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45215</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45215</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45215</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45215</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45215</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45215</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45215</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45215</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45215</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45215</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45215</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45215</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45215</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45215</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45215</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45215</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45215</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45215</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45215</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45215</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45215</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45215</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45215</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45215</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45215</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45215</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45215</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45215</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45215</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45215</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45215</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45215</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45215</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45215</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45215</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45215</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45215</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45215</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45215</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45215</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45215</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45215</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45215</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45215</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45215</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45215</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45215</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45215</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45215</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45215</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45215</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45215</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45215</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45215</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45215</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45215</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45215</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45215</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45215</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45215</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45215</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45215</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45215</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45215</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45215</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45215</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45215</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45215</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45215</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45215</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45215</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45215</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45215</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45215</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45215</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45215</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45215</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45215</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45215</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45215</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45215</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45215</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45215</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45215</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45215</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45215</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45215</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45215</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45215</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45215</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45215</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45215</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45215</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45215</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45215</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45215</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45215</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45215</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45215</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45215</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45215</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45215</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45215</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45215</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45215</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45215</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45215</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45215</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45215</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45215</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45215</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45215</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45215</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45215</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45215</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45215</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45215</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45215</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45215</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45215</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45215</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45215</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45215</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45215</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45215</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45215</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45215</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45215</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45215</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45215</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45215</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45215</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45215</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45215</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45215</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45215</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45215</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45215</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45215</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45215</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45215</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45215</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45215</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45215</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45215</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45215</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45215</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45215</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45215</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45215</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45215</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45215</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45215</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45215</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45215</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45215</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45215</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45215</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45215</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45215</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45215</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45215</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45215</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45215</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45215</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45215</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45215</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45215</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45215</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45215</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45215</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45215</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45215</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45215</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45215</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45215</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45215</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45215</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45215</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45215</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45215</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45215</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45215</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45215</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45215</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45215</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45215</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45215</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45215</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45215</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45215</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45215</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45215</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45215</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45215</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45215</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45215</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45215</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45215</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45215</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45215</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45215</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45215</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45215</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45215</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45215</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45215</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45215</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45215</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45215</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45215</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45215</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45215</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45215</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45215</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45215</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45215</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45215</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45215</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45215</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45215</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45215</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45215</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45215</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45215</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45215</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45215</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45215</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45215</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45215</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45215</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45215</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45215</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45215</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45215</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45215</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45215</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45215</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45215</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45215</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45215</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45215</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45215</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45215</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45215</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45215</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45215</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45215</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45215</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45215</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45215</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45215</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45215</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45215</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45215</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45215</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45215</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45215</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45215</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45215</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45215</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45215</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45215</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45215</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45215</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45215</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45215</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45215</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45215</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45215</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45215</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45215</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45215</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45215</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45215</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45215</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45215</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45215</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45215</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45215</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45215</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45215</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45215</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45215</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45215</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45215</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45215</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45215</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45215</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45215</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45215</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45215</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45215</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45215</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45215</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45215</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45215</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45215</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45215</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45215</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45215</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45215</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45215</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45215</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45215</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45215</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45215</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45215</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45215</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45215</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45215</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45215</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45215</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45215</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45215</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45215</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45215</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45215</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45215</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45215</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45215</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45215</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45215</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45215</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45215</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45215</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45215</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45215</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45215</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45215</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45215</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45215</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45215</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45215</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45215</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45215</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45215</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45215</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45215</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45215</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45215</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45215</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45215</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45215</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45215</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45215</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45215</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45215</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45215</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45215</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45215</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45215</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45215</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45215</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45215</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45215</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45215</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45215</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45215</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45215</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45215</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45215</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45215</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45215</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45215</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45215</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45215</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45215</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45215</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45215</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45215</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45215</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45215</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45215</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45215</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45215</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45215</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45215</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45215</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45215</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45215</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45215</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45215</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45215</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45215</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45215</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45215</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45215</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45215</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45215</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45215</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45215</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45215</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45215</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45215</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45215</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45215</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45215</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45215</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45215</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45215</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45215</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45215</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45215</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45215</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45215</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45215</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45215</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45215</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45215</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45215</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45215</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45215</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45215</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45215</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45215</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45215</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45215</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45215</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45215</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45215</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45215</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45215</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45215</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45215</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45215</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45215</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45215</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45215</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45215</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45215</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45215</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45215</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45215</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45215</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45215</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45215</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45215</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45215</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45215</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45215</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45215</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45215</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45215</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45215</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45215</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45215</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45215</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45215</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45215</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45215</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45215</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45215</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45215</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45215</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45215</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45215</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45215</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45215</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45215</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45215</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45215</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45215</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45215</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45215</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45215</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45215</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45215</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45215</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45215</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45215</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45215</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45215</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45215</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45215</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45215</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45215</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45215</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45215</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45215</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45215</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45215</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45215</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45215</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45215</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45215</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45215</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45215</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45215</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45215</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45215</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45215</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45215</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45215</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45215</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45215</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45215</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45215</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45215</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45215</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45215</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45215</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45215</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45215</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45215</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45215</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45215</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45215</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45215</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45215</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45215</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45215</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45215</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45215</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45215</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45215</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45215</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45215</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45215</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45215</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45215</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45215</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45215</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45215</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45215</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45215</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45215</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45215</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45215</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45215</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45215</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45215</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45215</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45215</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45215</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45215</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45215</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45215</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45215</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45215</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45215</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45215</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45215</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45215</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45215</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45215</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45215</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45215</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45215</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45215</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45215</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45215</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45215</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45215</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45215</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45215</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45215</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45215</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45215</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45215</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45215</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45215</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45215</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45215</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45215</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45215</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45215</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45215</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45215</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45215</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45215</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45215</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45215</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45215</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45215</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45215</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45215</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45215</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45215</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45215</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45215</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45215</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45215</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45215</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45215</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45215</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45215</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45215</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45215</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45215</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45215</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45215</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45215</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45215</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45215</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45215</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45215</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45215</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45215</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45215</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45215</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45215</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45215</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45215</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45215</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45215</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45215</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45215</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45215</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45215</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45215</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45215</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45215</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45215</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45215</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45215</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45215</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45215</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45215</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45215</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45215</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45215</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45215</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45215</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45215</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45215</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45215</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45215</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45215</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45215</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45215</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45215</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45215</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45215</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45215</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45215</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45215</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45215</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45215</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45215</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45215</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45215</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45215</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45215</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45215</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45215</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45215</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45215</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45215</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45215</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45215</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45215</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45215</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45215</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45215</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45215</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45215</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45215</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45215</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45215</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45215</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45215</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45215</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45215</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45215</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45215</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45215</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45215</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45215</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45215</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45215</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45215</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45215</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45215</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45215</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45215</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45215</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45215</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45215</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45215</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45215</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45215</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45215</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45215</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45215</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45215</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45215</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45215</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45215</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45215</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45215</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45215</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45215</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45215</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45215</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45215</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45215</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45215</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45215</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45215</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45215</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45215</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45215</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45215</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45215</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45215</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45215</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45215</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45215</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45215</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45215</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45215</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45215</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45215</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45215</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45215</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45215</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45215</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45215</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45215</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45215</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45215</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45215</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45215</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45215</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45215</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45215</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45215</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45215</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45215</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45215</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45215</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45215</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45215</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45215</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45215</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45215</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45215</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45215</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45215</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45215</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45215</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45215</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45215</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45215</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45215</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45215</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45215</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45215</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45215</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45215</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45215</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45215</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45215</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45215</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45215</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45215</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45215</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45215</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45215</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45215</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45215</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45215</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45215</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45215</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45215</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45215</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45215</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45215</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45215</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45215</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45215</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45215</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45215</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45215</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45215</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45215</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45215</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45215</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45215</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45215</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45215</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45215</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45215</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45215</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45215</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45215</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45215</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45215</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45215</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45215</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45215</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45215</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45215</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45215</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45215</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45215</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45215</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45215</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45215</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45215</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45215</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45215</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45215</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45215</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45215</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45215</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45215</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45215</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45215</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45215</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45215</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45215</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45215</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45215</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45215</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45215</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45215</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45215</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45215</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45215</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45215</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45215</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45215</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45215</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45215</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45215</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45215</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45215</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45215</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45215</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45215</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45215</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45215</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45215</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45215</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45215</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45215</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45215</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45215</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45215</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45215</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45215</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45215</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45215</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45215</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45215</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45215</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45215</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45215</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45215</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45215</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45215</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45215</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45215</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45215</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45215</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45215</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45215</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45215</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45215</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45215</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45215</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45215</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45215</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45215</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45215</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45215</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45215</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45215</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45215</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45215</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45215</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45215</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45215</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45215</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45215</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45215</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45215</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45215</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45215</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45215</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45215</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45215</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45215</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45215</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45215</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45215</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45215</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45215</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45215</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45215</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45215</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45215</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45215</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45215</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45215</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45215</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45215</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45215</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45215</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45215</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45215</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45215</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45215</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45215</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45215</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45215</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45215</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45215</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45215</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45215</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45215</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45215</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45215</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45215</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45215</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2023-10-16T04:52:58Z</dcterms:created>
  <dcterms:modified xmlns:dcterms="http://purl.org/dc/terms/" xmlns:xsi="http://www.w3.org/2001/XMLSchema-instance" xsi:type="dcterms:W3CDTF">2023-10-16T04:53:01Z</dcterms:modified>
</cp:coreProperties>
</file>