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58458-2022</t>
        </is>
      </c>
      <c r="B2" s="1" t="n">
        <v>44902</v>
      </c>
      <c r="C2" s="1" t="n">
        <v>45175</v>
      </c>
      <c r="D2" t="inlineStr">
        <is>
          <t>KALMAR LÄN</t>
        </is>
      </c>
      <c r="E2" t="inlineStr">
        <is>
          <t>VÄSTERVIK</t>
        </is>
      </c>
      <c r="G2" t="n">
        <v>3.3</v>
      </c>
      <c r="H2" t="n">
        <v>10</v>
      </c>
      <c r="I2" t="n">
        <v>3</v>
      </c>
      <c r="J2" t="n">
        <v>10</v>
      </c>
      <c r="K2" t="n">
        <v>1</v>
      </c>
      <c r="L2" t="n">
        <v>1</v>
      </c>
      <c r="M2" t="n">
        <v>0</v>
      </c>
      <c r="N2" t="n">
        <v>0</v>
      </c>
      <c r="O2" t="n">
        <v>12</v>
      </c>
      <c r="P2" t="n">
        <v>2</v>
      </c>
      <c r="Q2" t="n">
        <v>20</v>
      </c>
      <c r="R2" s="2" t="inlineStr">
        <is>
          <t>Brandnäva
Knärot
Bredbrämad bastardsvärmare
Duvhök
Kandelabersvamp
Klubbsprötad bastardsvärmare
Mindre bastardsvärmare
Silversmygare
Smalsprötad bastardsvärmare
Spillkråka
Svedjenäva
Talltita
Grovticka
Grönpyrola
Purpurknipprot
Kopparödla
Skogsödla
Grönvit nattviol
Blåsippa
Mattlummer</t>
        </is>
      </c>
      <c r="S2">
        <f>HYPERLINK("https://klasma.github.io/Logging_VASTERVIK/artfynd/A 58458-2022.xlsx")</f>
        <v/>
      </c>
      <c r="T2">
        <f>HYPERLINK("https://klasma.github.io/Logging_VASTERVIK/kartor/A 58458-2022.png")</f>
        <v/>
      </c>
      <c r="U2">
        <f>HYPERLINK("https://klasma.github.io/Logging_VASTERVIK/knärot/A 58458-2022.png")</f>
        <v/>
      </c>
      <c r="V2">
        <f>HYPERLINK("https://klasma.github.io/Logging_VASTERVIK/klagomål/A 58458-2022.docx")</f>
        <v/>
      </c>
      <c r="W2">
        <f>HYPERLINK("https://klasma.github.io/Logging_VASTERVIK/klagomålsmail/A 58458-2022.docx")</f>
        <v/>
      </c>
      <c r="X2">
        <f>HYPERLINK("https://klasma.github.io/Logging_VASTERVIK/tillsyn/A 58458-2022.docx")</f>
        <v/>
      </c>
      <c r="Y2">
        <f>HYPERLINK("https://klasma.github.io/Logging_VASTERVIK/tillsynsmail/A 58458-2022.docx")</f>
        <v/>
      </c>
    </row>
    <row r="3" ht="15" customHeight="1">
      <c r="A3" t="inlineStr">
        <is>
          <t>A 58937-2022</t>
        </is>
      </c>
      <c r="B3" s="1" t="n">
        <v>44896</v>
      </c>
      <c r="C3" s="1" t="n">
        <v>45175</v>
      </c>
      <c r="D3" t="inlineStr">
        <is>
          <t>KALMAR LÄN</t>
        </is>
      </c>
      <c r="E3" t="inlineStr">
        <is>
          <t>VÄSTERVIK</t>
        </is>
      </c>
      <c r="G3" t="n">
        <v>10.6</v>
      </c>
      <c r="H3" t="n">
        <v>3</v>
      </c>
      <c r="I3" t="n">
        <v>10</v>
      </c>
      <c r="J3" t="n">
        <v>3</v>
      </c>
      <c r="K3" t="n">
        <v>2</v>
      </c>
      <c r="L3" t="n">
        <v>0</v>
      </c>
      <c r="M3" t="n">
        <v>0</v>
      </c>
      <c r="N3" t="n">
        <v>0</v>
      </c>
      <c r="O3" t="n">
        <v>5</v>
      </c>
      <c r="P3" t="n">
        <v>2</v>
      </c>
      <c r="Q3" t="n">
        <v>15</v>
      </c>
      <c r="R3" s="2" t="inlineStr">
        <is>
          <t>Fransporing
Knärot
Spillkråka
Tallticka
Talltita
Blodticka
Bronshjon
Flagellkvastmossa
Grovticka
Grönpyrola
Kornknutmossa
Sotlav
Thomsons trägnagare
Vedticka
Vågbandad barkbock</t>
        </is>
      </c>
      <c r="S3">
        <f>HYPERLINK("https://klasma.github.io/Logging_VASTERVIK/artfynd/A 58937-2022.xlsx")</f>
        <v/>
      </c>
      <c r="T3">
        <f>HYPERLINK("https://klasma.github.io/Logging_VASTERVIK/kartor/A 58937-2022.png")</f>
        <v/>
      </c>
      <c r="U3">
        <f>HYPERLINK("https://klasma.github.io/Logging_VASTERVIK/knärot/A 58937-2022.png")</f>
        <v/>
      </c>
      <c r="V3">
        <f>HYPERLINK("https://klasma.github.io/Logging_VASTERVIK/klagomål/A 58937-2022.docx")</f>
        <v/>
      </c>
      <c r="W3">
        <f>HYPERLINK("https://klasma.github.io/Logging_VASTERVIK/klagomålsmail/A 58937-2022.docx")</f>
        <v/>
      </c>
      <c r="X3">
        <f>HYPERLINK("https://klasma.github.io/Logging_VASTERVIK/tillsyn/A 58937-2022.docx")</f>
        <v/>
      </c>
      <c r="Y3">
        <f>HYPERLINK("https://klasma.github.io/Logging_VASTERVIK/tillsynsmail/A 58937-2022.docx")</f>
        <v/>
      </c>
    </row>
    <row r="4" ht="15" customHeight="1">
      <c r="A4" t="inlineStr">
        <is>
          <t>A 54601-2022</t>
        </is>
      </c>
      <c r="B4" s="1" t="n">
        <v>44883</v>
      </c>
      <c r="C4" s="1" t="n">
        <v>45175</v>
      </c>
      <c r="D4" t="inlineStr">
        <is>
          <t>KALMAR LÄN</t>
        </is>
      </c>
      <c r="E4" t="inlineStr">
        <is>
          <t>VÄSTERVIK</t>
        </is>
      </c>
      <c r="G4" t="n">
        <v>3.4</v>
      </c>
      <c r="H4" t="n">
        <v>3</v>
      </c>
      <c r="I4" t="n">
        <v>5</v>
      </c>
      <c r="J4" t="n">
        <v>8</v>
      </c>
      <c r="K4" t="n">
        <v>0</v>
      </c>
      <c r="L4" t="n">
        <v>1</v>
      </c>
      <c r="M4" t="n">
        <v>0</v>
      </c>
      <c r="N4" t="n">
        <v>0</v>
      </c>
      <c r="O4" t="n">
        <v>9</v>
      </c>
      <c r="P4" t="n">
        <v>1</v>
      </c>
      <c r="Q4" t="n">
        <v>14</v>
      </c>
      <c r="R4" s="2" t="inlineStr">
        <is>
          <t>Tallharticka
Havsörn
Kandelabersvamp
Koralltaggsvamp
Mindre hackspett
Orange taggsvamp
Spillkråka
Svävflugedagsvärmare
Ullticka
Dropptaggsvamp
Fjällig taggsvamp s.str.
Grönpyrola
Rävticka
Zontaggsvamp</t>
        </is>
      </c>
      <c r="S4">
        <f>HYPERLINK("https://klasma.github.io/Logging_VASTERVIK/artfynd/A 54601-2022.xlsx")</f>
        <v/>
      </c>
      <c r="T4">
        <f>HYPERLINK("https://klasma.github.io/Logging_VASTERVIK/kartor/A 54601-2022.png")</f>
        <v/>
      </c>
      <c r="V4">
        <f>HYPERLINK("https://klasma.github.io/Logging_VASTERVIK/klagomål/A 54601-2022.docx")</f>
        <v/>
      </c>
      <c r="W4">
        <f>HYPERLINK("https://klasma.github.io/Logging_VASTERVIK/klagomålsmail/A 54601-2022.docx")</f>
        <v/>
      </c>
      <c r="X4">
        <f>HYPERLINK("https://klasma.github.io/Logging_VASTERVIK/tillsyn/A 54601-2022.docx")</f>
        <v/>
      </c>
      <c r="Y4">
        <f>HYPERLINK("https://klasma.github.io/Logging_VASTERVIK/tillsynsmail/A 54601-2022.docx")</f>
        <v/>
      </c>
    </row>
    <row r="5" ht="15" customHeight="1">
      <c r="A5" t="inlineStr">
        <is>
          <t>A 7757-2021</t>
        </is>
      </c>
      <c r="B5" s="1" t="n">
        <v>44239</v>
      </c>
      <c r="C5" s="1" t="n">
        <v>45175</v>
      </c>
      <c r="D5" t="inlineStr">
        <is>
          <t>KALMAR LÄN</t>
        </is>
      </c>
      <c r="E5" t="inlineStr">
        <is>
          <t>VÄSTERVIK</t>
        </is>
      </c>
      <c r="G5" t="n">
        <v>11.9</v>
      </c>
      <c r="H5" t="n">
        <v>1</v>
      </c>
      <c r="I5" t="n">
        <v>6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12</v>
      </c>
      <c r="R5" s="2" t="inlineStr">
        <is>
          <t>Knärot
Motaggsvamp
Orange taggsvamp
Råttspindling
Svart taggsvamp
Svartvit taggsvamp
Dropptaggsvamp
Fjällig taggsvamp s.str.
Grönpyrola
Rödgul trumpetsvamp
Tjockfotad fingersvamp
Zontaggsvamp</t>
        </is>
      </c>
      <c r="S5">
        <f>HYPERLINK("https://klasma.github.io/Logging_VASTERVIK/artfynd/A 7757-2021.xlsx")</f>
        <v/>
      </c>
      <c r="T5">
        <f>HYPERLINK("https://klasma.github.io/Logging_VASTERVIK/kartor/A 7757-2021.png")</f>
        <v/>
      </c>
      <c r="U5">
        <f>HYPERLINK("https://klasma.github.io/Logging_VASTERVIK/knärot/A 7757-2021.png")</f>
        <v/>
      </c>
      <c r="V5">
        <f>HYPERLINK("https://klasma.github.io/Logging_VASTERVIK/klagomål/A 7757-2021.docx")</f>
        <v/>
      </c>
      <c r="W5">
        <f>HYPERLINK("https://klasma.github.io/Logging_VASTERVIK/klagomålsmail/A 7757-2021.docx")</f>
        <v/>
      </c>
      <c r="X5">
        <f>HYPERLINK("https://klasma.github.io/Logging_VASTERVIK/tillsyn/A 7757-2021.docx")</f>
        <v/>
      </c>
      <c r="Y5">
        <f>HYPERLINK("https://klasma.github.io/Logging_VASTERVIK/tillsynsmail/A 7757-2021.docx")</f>
        <v/>
      </c>
    </row>
    <row r="6" ht="15" customHeight="1">
      <c r="A6" t="inlineStr">
        <is>
          <t>A 37023-2021</t>
        </is>
      </c>
      <c r="B6" s="1" t="n">
        <v>44393</v>
      </c>
      <c r="C6" s="1" t="n">
        <v>45175</v>
      </c>
      <c r="D6" t="inlineStr">
        <is>
          <t>KALMAR LÄN</t>
        </is>
      </c>
      <c r="E6" t="inlineStr">
        <is>
          <t>VÄSTERVIK</t>
        </is>
      </c>
      <c r="G6" t="n">
        <v>5.6</v>
      </c>
      <c r="H6" t="n">
        <v>3</v>
      </c>
      <c r="I6" t="n">
        <v>5</v>
      </c>
      <c r="J6" t="n">
        <v>5</v>
      </c>
      <c r="K6" t="n">
        <v>1</v>
      </c>
      <c r="L6" t="n">
        <v>0</v>
      </c>
      <c r="M6" t="n">
        <v>0</v>
      </c>
      <c r="N6" t="n">
        <v>0</v>
      </c>
      <c r="O6" t="n">
        <v>6</v>
      </c>
      <c r="P6" t="n">
        <v>1</v>
      </c>
      <c r="Q6" t="n">
        <v>12</v>
      </c>
      <c r="R6" s="2" t="inlineStr">
        <is>
          <t>Knärot
Bredbrämad bastardsvärmare
Motaggsvamp
Smalsprötad bastardsvärmare
Såpfingersvamp
Tallticka
Blomkålssvamp
Fjällig taggsvamp s.str.
Grönpyrola
Skogsknipprot
Tjockfotad fingersvamp
Mattlummer</t>
        </is>
      </c>
      <c r="S6">
        <f>HYPERLINK("https://klasma.github.io/Logging_VASTERVIK/artfynd/A 37023-2021.xlsx")</f>
        <v/>
      </c>
      <c r="T6">
        <f>HYPERLINK("https://klasma.github.io/Logging_VASTERVIK/kartor/A 37023-2021.png")</f>
        <v/>
      </c>
      <c r="U6">
        <f>HYPERLINK("https://klasma.github.io/Logging_VASTERVIK/knärot/A 37023-2021.png")</f>
        <v/>
      </c>
      <c r="V6">
        <f>HYPERLINK("https://klasma.github.io/Logging_VASTERVIK/klagomål/A 37023-2021.docx")</f>
        <v/>
      </c>
      <c r="W6">
        <f>HYPERLINK("https://klasma.github.io/Logging_VASTERVIK/klagomålsmail/A 37023-2021.docx")</f>
        <v/>
      </c>
      <c r="X6">
        <f>HYPERLINK("https://klasma.github.io/Logging_VASTERVIK/tillsyn/A 37023-2021.docx")</f>
        <v/>
      </c>
      <c r="Y6">
        <f>HYPERLINK("https://klasma.github.io/Logging_VASTERVIK/tillsynsmail/A 37023-2021.docx")</f>
        <v/>
      </c>
    </row>
    <row r="7" ht="15" customHeight="1">
      <c r="A7" t="inlineStr">
        <is>
          <t>A 63105-2019</t>
        </is>
      </c>
      <c r="B7" s="1" t="n">
        <v>43791</v>
      </c>
      <c r="C7" s="1" t="n">
        <v>45175</v>
      </c>
      <c r="D7" t="inlineStr">
        <is>
          <t>KALMAR LÄN</t>
        </is>
      </c>
      <c r="E7" t="inlineStr">
        <is>
          <t>VÄSTERVIK</t>
        </is>
      </c>
      <c r="F7" t="inlineStr">
        <is>
          <t>Övriga Aktiebolag</t>
        </is>
      </c>
      <c r="G7" t="n">
        <v>3.6</v>
      </c>
      <c r="H7" t="n">
        <v>2</v>
      </c>
      <c r="I7" t="n">
        <v>2</v>
      </c>
      <c r="J7" t="n">
        <v>4</v>
      </c>
      <c r="K7" t="n">
        <v>0</v>
      </c>
      <c r="L7" t="n">
        <v>1</v>
      </c>
      <c r="M7" t="n">
        <v>0</v>
      </c>
      <c r="N7" t="n">
        <v>0</v>
      </c>
      <c r="O7" t="n">
        <v>5</v>
      </c>
      <c r="P7" t="n">
        <v>1</v>
      </c>
      <c r="Q7" t="n">
        <v>9</v>
      </c>
      <c r="R7" s="2" t="inlineStr">
        <is>
          <t>Ask
Solvända
Sommarfibbla
Svinrot
Vippärt
Tibast
Underviol
Fläcknycklar
Nattviol</t>
        </is>
      </c>
      <c r="S7">
        <f>HYPERLINK("https://klasma.github.io/Logging_VASTERVIK/artfynd/A 63105-2019.xlsx")</f>
        <v/>
      </c>
      <c r="T7">
        <f>HYPERLINK("https://klasma.github.io/Logging_VASTERVIK/kartor/A 63105-2019.png")</f>
        <v/>
      </c>
      <c r="V7">
        <f>HYPERLINK("https://klasma.github.io/Logging_VASTERVIK/klagomål/A 63105-2019.docx")</f>
        <v/>
      </c>
      <c r="W7">
        <f>HYPERLINK("https://klasma.github.io/Logging_VASTERVIK/klagomålsmail/A 63105-2019.docx")</f>
        <v/>
      </c>
      <c r="X7">
        <f>HYPERLINK("https://klasma.github.io/Logging_VASTERVIK/tillsyn/A 63105-2019.docx")</f>
        <v/>
      </c>
      <c r="Y7">
        <f>HYPERLINK("https://klasma.github.io/Logging_VASTERVIK/tillsynsmail/A 63105-2019.docx")</f>
        <v/>
      </c>
    </row>
    <row r="8" ht="15" customHeight="1">
      <c r="A8" t="inlineStr">
        <is>
          <t>A 15252-2021</t>
        </is>
      </c>
      <c r="B8" s="1" t="n">
        <v>44284</v>
      </c>
      <c r="C8" s="1" t="n">
        <v>45175</v>
      </c>
      <c r="D8" t="inlineStr">
        <is>
          <t>KALMAR LÄN</t>
        </is>
      </c>
      <c r="E8" t="inlineStr">
        <is>
          <t>VÄSTERVIK</t>
        </is>
      </c>
      <c r="G8" t="n">
        <v>4.5</v>
      </c>
      <c r="H8" t="n">
        <v>2</v>
      </c>
      <c r="I8" t="n">
        <v>3</v>
      </c>
      <c r="J8" t="n">
        <v>5</v>
      </c>
      <c r="K8" t="n">
        <v>1</v>
      </c>
      <c r="L8" t="n">
        <v>0</v>
      </c>
      <c r="M8" t="n">
        <v>0</v>
      </c>
      <c r="N8" t="n">
        <v>0</v>
      </c>
      <c r="O8" t="n">
        <v>6</v>
      </c>
      <c r="P8" t="n">
        <v>1</v>
      </c>
      <c r="Q8" t="n">
        <v>9</v>
      </c>
      <c r="R8" s="2" t="inlineStr">
        <is>
          <t>Knärot
Motaggsvamp
Spillkråka
Svart taggsvamp
Svartvit taggsvamp
Såpfingersvamp
Dropptaggsvamp
Grönpyrola
Skarp dropptaggsvamp</t>
        </is>
      </c>
      <c r="S8">
        <f>HYPERLINK("https://klasma.github.io/Logging_VASTERVIK/artfynd/A 15252-2021.xlsx")</f>
        <v/>
      </c>
      <c r="T8">
        <f>HYPERLINK("https://klasma.github.io/Logging_VASTERVIK/kartor/A 15252-2021.png")</f>
        <v/>
      </c>
      <c r="U8">
        <f>HYPERLINK("https://klasma.github.io/Logging_VASTERVIK/knärot/A 15252-2021.png")</f>
        <v/>
      </c>
      <c r="V8">
        <f>HYPERLINK("https://klasma.github.io/Logging_VASTERVIK/klagomål/A 15252-2021.docx")</f>
        <v/>
      </c>
      <c r="W8">
        <f>HYPERLINK("https://klasma.github.io/Logging_VASTERVIK/klagomålsmail/A 15252-2021.docx")</f>
        <v/>
      </c>
      <c r="X8">
        <f>HYPERLINK("https://klasma.github.io/Logging_VASTERVIK/tillsyn/A 15252-2021.docx")</f>
        <v/>
      </c>
      <c r="Y8">
        <f>HYPERLINK("https://klasma.github.io/Logging_VASTERVIK/tillsynsmail/A 15252-2021.docx")</f>
        <v/>
      </c>
    </row>
    <row r="9" ht="15" customHeight="1">
      <c r="A9" t="inlineStr">
        <is>
          <t>A 54178-2019</t>
        </is>
      </c>
      <c r="B9" s="1" t="n">
        <v>43753</v>
      </c>
      <c r="C9" s="1" t="n">
        <v>45175</v>
      </c>
      <c r="D9" t="inlineStr">
        <is>
          <t>KALMAR LÄN</t>
        </is>
      </c>
      <c r="E9" t="inlineStr">
        <is>
          <t>VÄSTERVIK</t>
        </is>
      </c>
      <c r="G9" t="n">
        <v>3</v>
      </c>
      <c r="H9" t="n">
        <v>1</v>
      </c>
      <c r="I9" t="n">
        <v>4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8</v>
      </c>
      <c r="R9" s="2" t="inlineStr">
        <is>
          <t>Knärot
Motaggsvamp
Orange taggsvamp
Persiljespindling
Blåmossa
Dropptaggsvamp
Rökmusseron
Skarp dropptaggsvamp</t>
        </is>
      </c>
      <c r="S9">
        <f>HYPERLINK("https://klasma.github.io/Logging_VASTERVIK/artfynd/A 54178-2019.xlsx")</f>
        <v/>
      </c>
      <c r="T9">
        <f>HYPERLINK("https://klasma.github.io/Logging_VASTERVIK/kartor/A 54178-2019.png")</f>
        <v/>
      </c>
      <c r="U9">
        <f>HYPERLINK("https://klasma.github.io/Logging_VASTERVIK/knärot/A 54178-2019.png")</f>
        <v/>
      </c>
      <c r="V9">
        <f>HYPERLINK("https://klasma.github.io/Logging_VASTERVIK/klagomål/A 54178-2019.docx")</f>
        <v/>
      </c>
      <c r="W9">
        <f>HYPERLINK("https://klasma.github.io/Logging_VASTERVIK/klagomålsmail/A 54178-2019.docx")</f>
        <v/>
      </c>
      <c r="X9">
        <f>HYPERLINK("https://klasma.github.io/Logging_VASTERVIK/tillsyn/A 54178-2019.docx")</f>
        <v/>
      </c>
      <c r="Y9">
        <f>HYPERLINK("https://klasma.github.io/Logging_VASTERVIK/tillsynsmail/A 54178-2019.docx")</f>
        <v/>
      </c>
    </row>
    <row r="10" ht="15" customHeight="1">
      <c r="A10" t="inlineStr">
        <is>
          <t>A 16243-2020</t>
        </is>
      </c>
      <c r="B10" s="1" t="n">
        <v>43917</v>
      </c>
      <c r="C10" s="1" t="n">
        <v>45175</v>
      </c>
      <c r="D10" t="inlineStr">
        <is>
          <t>KALMAR LÄN</t>
        </is>
      </c>
      <c r="E10" t="inlineStr">
        <is>
          <t>VÄSTERVIK</t>
        </is>
      </c>
      <c r="G10" t="n">
        <v>10.2</v>
      </c>
      <c r="H10" t="n">
        <v>0</v>
      </c>
      <c r="I10" t="n">
        <v>2</v>
      </c>
      <c r="J10" t="n">
        <v>5</v>
      </c>
      <c r="K10" t="n">
        <v>1</v>
      </c>
      <c r="L10" t="n">
        <v>0</v>
      </c>
      <c r="M10" t="n">
        <v>0</v>
      </c>
      <c r="N10" t="n">
        <v>0</v>
      </c>
      <c r="O10" t="n">
        <v>6</v>
      </c>
      <c r="P10" t="n">
        <v>1</v>
      </c>
      <c r="Q10" t="n">
        <v>8</v>
      </c>
      <c r="R10" s="2" t="inlineStr">
        <is>
          <t>Raggbock
Dvärgbägarlav
Reliktbock
Tallticka
Vedskivlav
Vintertagging
Blåmossa
Mindre märgborre</t>
        </is>
      </c>
      <c r="S10">
        <f>HYPERLINK("https://klasma.github.io/Logging_VASTERVIK/artfynd/A 16243-2020.xlsx")</f>
        <v/>
      </c>
      <c r="T10">
        <f>HYPERLINK("https://klasma.github.io/Logging_VASTERVIK/kartor/A 16243-2020.png")</f>
        <v/>
      </c>
      <c r="V10">
        <f>HYPERLINK("https://klasma.github.io/Logging_VASTERVIK/klagomål/A 16243-2020.docx")</f>
        <v/>
      </c>
      <c r="W10">
        <f>HYPERLINK("https://klasma.github.io/Logging_VASTERVIK/klagomålsmail/A 16243-2020.docx")</f>
        <v/>
      </c>
      <c r="X10">
        <f>HYPERLINK("https://klasma.github.io/Logging_VASTERVIK/tillsyn/A 16243-2020.docx")</f>
        <v/>
      </c>
      <c r="Y10">
        <f>HYPERLINK("https://klasma.github.io/Logging_VASTERVIK/tillsynsmail/A 16243-2020.docx")</f>
        <v/>
      </c>
    </row>
    <row r="11" ht="15" customHeight="1">
      <c r="A11" t="inlineStr">
        <is>
          <t>A 34624-2022</t>
        </is>
      </c>
      <c r="B11" s="1" t="n">
        <v>44795</v>
      </c>
      <c r="C11" s="1" t="n">
        <v>45175</v>
      </c>
      <c r="D11" t="inlineStr">
        <is>
          <t>KALMAR LÄN</t>
        </is>
      </c>
      <c r="E11" t="inlineStr">
        <is>
          <t>VÄSTERVIK</t>
        </is>
      </c>
      <c r="G11" t="n">
        <v>14</v>
      </c>
      <c r="H11" t="n">
        <v>2</v>
      </c>
      <c r="I11" t="n">
        <v>3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7</v>
      </c>
      <c r="R11" s="2" t="inlineStr">
        <is>
          <t>Knärot
Svart taggsvamp
Tallticka
Talltita
Blomkålssvamp
Blåmossa
Grönpyrola</t>
        </is>
      </c>
      <c r="S11">
        <f>HYPERLINK("https://klasma.github.io/Logging_VASTERVIK/artfynd/A 34624-2022.xlsx")</f>
        <v/>
      </c>
      <c r="T11">
        <f>HYPERLINK("https://klasma.github.io/Logging_VASTERVIK/kartor/A 34624-2022.png")</f>
        <v/>
      </c>
      <c r="U11">
        <f>HYPERLINK("https://klasma.github.io/Logging_VASTERVIK/knärot/A 34624-2022.png")</f>
        <v/>
      </c>
      <c r="V11">
        <f>HYPERLINK("https://klasma.github.io/Logging_VASTERVIK/klagomål/A 34624-2022.docx")</f>
        <v/>
      </c>
      <c r="W11">
        <f>HYPERLINK("https://klasma.github.io/Logging_VASTERVIK/klagomålsmail/A 34624-2022.docx")</f>
        <v/>
      </c>
      <c r="X11">
        <f>HYPERLINK("https://klasma.github.io/Logging_VASTERVIK/tillsyn/A 34624-2022.docx")</f>
        <v/>
      </c>
      <c r="Y11">
        <f>HYPERLINK("https://klasma.github.io/Logging_VASTERVIK/tillsynsmail/A 34624-2022.docx")</f>
        <v/>
      </c>
    </row>
    <row r="12" ht="15" customHeight="1">
      <c r="A12" t="inlineStr">
        <is>
          <t>A 52916-2020</t>
        </is>
      </c>
      <c r="B12" s="1" t="n">
        <v>44120</v>
      </c>
      <c r="C12" s="1" t="n">
        <v>45175</v>
      </c>
      <c r="D12" t="inlineStr">
        <is>
          <t>KALMAR LÄN</t>
        </is>
      </c>
      <c r="E12" t="inlineStr">
        <is>
          <t>VÄSTERVIK</t>
        </is>
      </c>
      <c r="G12" t="n">
        <v>1.2</v>
      </c>
      <c r="H12" t="n">
        <v>2</v>
      </c>
      <c r="I12" t="n">
        <v>2</v>
      </c>
      <c r="J12" t="n">
        <v>3</v>
      </c>
      <c r="K12" t="n">
        <v>1</v>
      </c>
      <c r="L12" t="n">
        <v>0</v>
      </c>
      <c r="M12" t="n">
        <v>0</v>
      </c>
      <c r="N12" t="n">
        <v>0</v>
      </c>
      <c r="O12" t="n">
        <v>4</v>
      </c>
      <c r="P12" t="n">
        <v>1</v>
      </c>
      <c r="Q12" t="n">
        <v>6</v>
      </c>
      <c r="R12" s="2" t="inlineStr">
        <is>
          <t>Knärot
Orange taggsvamp
Svart taggsvamp
Talltita
Blomkålssvamp
Dropptaggsvamp</t>
        </is>
      </c>
      <c r="S12">
        <f>HYPERLINK("https://klasma.github.io/Logging_VASTERVIK/artfynd/A 52916-2020.xlsx")</f>
        <v/>
      </c>
      <c r="T12">
        <f>HYPERLINK("https://klasma.github.io/Logging_VASTERVIK/kartor/A 52916-2020.png")</f>
        <v/>
      </c>
      <c r="U12">
        <f>HYPERLINK("https://klasma.github.io/Logging_VASTERVIK/knärot/A 52916-2020.png")</f>
        <v/>
      </c>
      <c r="V12">
        <f>HYPERLINK("https://klasma.github.io/Logging_VASTERVIK/klagomål/A 52916-2020.docx")</f>
        <v/>
      </c>
      <c r="W12">
        <f>HYPERLINK("https://klasma.github.io/Logging_VASTERVIK/klagomålsmail/A 52916-2020.docx")</f>
        <v/>
      </c>
      <c r="X12">
        <f>HYPERLINK("https://klasma.github.io/Logging_VASTERVIK/tillsyn/A 52916-2020.docx")</f>
        <v/>
      </c>
      <c r="Y12">
        <f>HYPERLINK("https://klasma.github.io/Logging_VASTERVIK/tillsynsmail/A 52916-2020.docx")</f>
        <v/>
      </c>
    </row>
    <row r="13" ht="15" customHeight="1">
      <c r="A13" t="inlineStr">
        <is>
          <t>A 53760-2021</t>
        </is>
      </c>
      <c r="B13" s="1" t="n">
        <v>44467</v>
      </c>
      <c r="C13" s="1" t="n">
        <v>45175</v>
      </c>
      <c r="D13" t="inlineStr">
        <is>
          <t>KALMAR LÄN</t>
        </is>
      </c>
      <c r="E13" t="inlineStr">
        <is>
          <t>VÄSTERVIK</t>
        </is>
      </c>
      <c r="G13" t="n">
        <v>3.9</v>
      </c>
      <c r="H13" t="n">
        <v>5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6</v>
      </c>
      <c r="R13" s="2" t="inlineStr">
        <is>
          <t>Brunlångöra
Nordfladdermus
Tallticka
Dvärgpipistrell
Större brunfladdermus
Trollpipistrell</t>
        </is>
      </c>
      <c r="S13">
        <f>HYPERLINK("https://klasma.github.io/Logging_VASTERVIK/artfynd/A 53760-2021.xlsx")</f>
        <v/>
      </c>
      <c r="T13">
        <f>HYPERLINK("https://klasma.github.io/Logging_VASTERVIK/kartor/A 53760-2021.png")</f>
        <v/>
      </c>
      <c r="V13">
        <f>HYPERLINK("https://klasma.github.io/Logging_VASTERVIK/klagomål/A 53760-2021.docx")</f>
        <v/>
      </c>
      <c r="W13">
        <f>HYPERLINK("https://klasma.github.io/Logging_VASTERVIK/klagomålsmail/A 53760-2021.docx")</f>
        <v/>
      </c>
      <c r="X13">
        <f>HYPERLINK("https://klasma.github.io/Logging_VASTERVIK/tillsyn/A 53760-2021.docx")</f>
        <v/>
      </c>
      <c r="Y13">
        <f>HYPERLINK("https://klasma.github.io/Logging_VASTERVIK/tillsynsmail/A 53760-2021.docx")</f>
        <v/>
      </c>
    </row>
    <row r="14" ht="15" customHeight="1">
      <c r="A14" t="inlineStr">
        <is>
          <t>A 60996-2021</t>
        </is>
      </c>
      <c r="B14" s="1" t="n">
        <v>44497</v>
      </c>
      <c r="C14" s="1" t="n">
        <v>45175</v>
      </c>
      <c r="D14" t="inlineStr">
        <is>
          <t>KALMAR LÄN</t>
        </is>
      </c>
      <c r="E14" t="inlineStr">
        <is>
          <t>VÄSTERVIK</t>
        </is>
      </c>
      <c r="F14" t="inlineStr">
        <is>
          <t>Kyrkan</t>
        </is>
      </c>
      <c r="G14" t="n">
        <v>7.2</v>
      </c>
      <c r="H14" t="n">
        <v>3</v>
      </c>
      <c r="I14" t="n">
        <v>2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6</v>
      </c>
      <c r="R14" s="2" t="inlineStr">
        <is>
          <t>Knärot
Talltita
Vedtrappmossa
Grönpyrola
Platt fjädermossa
Revlummer</t>
        </is>
      </c>
      <c r="S14">
        <f>HYPERLINK("https://klasma.github.io/Logging_VASTERVIK/artfynd/A 60996-2021.xlsx")</f>
        <v/>
      </c>
      <c r="T14">
        <f>HYPERLINK("https://klasma.github.io/Logging_VASTERVIK/kartor/A 60996-2021.png")</f>
        <v/>
      </c>
      <c r="U14">
        <f>HYPERLINK("https://klasma.github.io/Logging_VASTERVIK/knärot/A 60996-2021.png")</f>
        <v/>
      </c>
      <c r="V14">
        <f>HYPERLINK("https://klasma.github.io/Logging_VASTERVIK/klagomål/A 60996-2021.docx")</f>
        <v/>
      </c>
      <c r="W14">
        <f>HYPERLINK("https://klasma.github.io/Logging_VASTERVIK/klagomålsmail/A 60996-2021.docx")</f>
        <v/>
      </c>
      <c r="X14">
        <f>HYPERLINK("https://klasma.github.io/Logging_VASTERVIK/tillsyn/A 60996-2021.docx")</f>
        <v/>
      </c>
      <c r="Y14">
        <f>HYPERLINK("https://klasma.github.io/Logging_VASTERVIK/tillsynsmail/A 60996-2021.docx")</f>
        <v/>
      </c>
    </row>
    <row r="15" ht="15" customHeight="1">
      <c r="A15" t="inlineStr">
        <is>
          <t>A 71188-2021</t>
        </is>
      </c>
      <c r="B15" s="1" t="n">
        <v>44539</v>
      </c>
      <c r="C15" s="1" t="n">
        <v>45175</v>
      </c>
      <c r="D15" t="inlineStr">
        <is>
          <t>KALMAR LÄN</t>
        </is>
      </c>
      <c r="E15" t="inlineStr">
        <is>
          <t>VÄSTERVIK</t>
        </is>
      </c>
      <c r="G15" t="n">
        <v>0.6</v>
      </c>
      <c r="H15" t="n">
        <v>0</v>
      </c>
      <c r="I15" t="n">
        <v>3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6</v>
      </c>
      <c r="R15" s="2" t="inlineStr">
        <is>
          <t>Blå taggsvamp
Motaggsvamp
Svartvit taggsvamp
Blomkålssvamp
Dropptaggsvamp
Grovticka</t>
        </is>
      </c>
      <c r="S15">
        <f>HYPERLINK("https://klasma.github.io/Logging_VASTERVIK/artfynd/A 71188-2021.xlsx")</f>
        <v/>
      </c>
      <c r="T15">
        <f>HYPERLINK("https://klasma.github.io/Logging_VASTERVIK/kartor/A 71188-2021.png")</f>
        <v/>
      </c>
      <c r="V15">
        <f>HYPERLINK("https://klasma.github.io/Logging_VASTERVIK/klagomål/A 71188-2021.docx")</f>
        <v/>
      </c>
      <c r="W15">
        <f>HYPERLINK("https://klasma.github.io/Logging_VASTERVIK/klagomålsmail/A 71188-2021.docx")</f>
        <v/>
      </c>
      <c r="X15">
        <f>HYPERLINK("https://klasma.github.io/Logging_VASTERVIK/tillsyn/A 71188-2021.docx")</f>
        <v/>
      </c>
      <c r="Y15">
        <f>HYPERLINK("https://klasma.github.io/Logging_VASTERVIK/tillsynsmail/A 71188-2021.docx")</f>
        <v/>
      </c>
    </row>
    <row r="16" ht="15" customHeight="1">
      <c r="A16" t="inlineStr">
        <is>
          <t>A 974-2023</t>
        </is>
      </c>
      <c r="B16" s="1" t="n">
        <v>44935</v>
      </c>
      <c r="C16" s="1" t="n">
        <v>45175</v>
      </c>
      <c r="D16" t="inlineStr">
        <is>
          <t>KALMAR LÄN</t>
        </is>
      </c>
      <c r="E16" t="inlineStr">
        <is>
          <t>VÄSTERVIK</t>
        </is>
      </c>
      <c r="G16" t="n">
        <v>7.2</v>
      </c>
      <c r="H16" t="n">
        <v>1</v>
      </c>
      <c r="I16" t="n">
        <v>5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6</v>
      </c>
      <c r="R16" s="2" t="inlineStr">
        <is>
          <t>Läderbagge
Blanksvart trämyra
Fällmossa
Guldlockmossa
Gulpudrad spiklav
Myskmadra</t>
        </is>
      </c>
      <c r="S16">
        <f>HYPERLINK("https://klasma.github.io/Logging_VASTERVIK/artfynd/A 974-2023.xlsx")</f>
        <v/>
      </c>
      <c r="T16">
        <f>HYPERLINK("https://klasma.github.io/Logging_VASTERVIK/kartor/A 974-2023.png")</f>
        <v/>
      </c>
      <c r="V16">
        <f>HYPERLINK("https://klasma.github.io/Logging_VASTERVIK/klagomål/A 974-2023.docx")</f>
        <v/>
      </c>
      <c r="W16">
        <f>HYPERLINK("https://klasma.github.io/Logging_VASTERVIK/klagomålsmail/A 974-2023.docx")</f>
        <v/>
      </c>
      <c r="X16">
        <f>HYPERLINK("https://klasma.github.io/Logging_VASTERVIK/tillsyn/A 974-2023.docx")</f>
        <v/>
      </c>
      <c r="Y16">
        <f>HYPERLINK("https://klasma.github.io/Logging_VASTERVIK/tillsynsmail/A 974-2023.docx")</f>
        <v/>
      </c>
    </row>
    <row r="17" ht="15" customHeight="1">
      <c r="A17" t="inlineStr">
        <is>
          <t>A 11740-2023</t>
        </is>
      </c>
      <c r="B17" s="1" t="n">
        <v>44994</v>
      </c>
      <c r="C17" s="1" t="n">
        <v>45175</v>
      </c>
      <c r="D17" t="inlineStr">
        <is>
          <t>KALMAR LÄN</t>
        </is>
      </c>
      <c r="E17" t="inlineStr">
        <is>
          <t>VÄSTERVIK</t>
        </is>
      </c>
      <c r="F17" t="inlineStr">
        <is>
          <t>Sveaskog</t>
        </is>
      </c>
      <c r="G17" t="n">
        <v>2.9</v>
      </c>
      <c r="H17" t="n">
        <v>1</v>
      </c>
      <c r="I17" t="n">
        <v>1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6</v>
      </c>
      <c r="R17" s="2" t="inlineStr">
        <is>
          <t>Mindre bastardsvärmare
Skogsklocka
Smalsprötad bastardsvärmare
Tallticka
Fällmossa
Blåsippa</t>
        </is>
      </c>
      <c r="S17">
        <f>HYPERLINK("https://klasma.github.io/Logging_VASTERVIK/artfynd/A 11740-2023.xlsx")</f>
        <v/>
      </c>
      <c r="T17">
        <f>HYPERLINK("https://klasma.github.io/Logging_VASTERVIK/kartor/A 11740-2023.png")</f>
        <v/>
      </c>
      <c r="V17">
        <f>HYPERLINK("https://klasma.github.io/Logging_VASTERVIK/klagomål/A 11740-2023.docx")</f>
        <v/>
      </c>
      <c r="W17">
        <f>HYPERLINK("https://klasma.github.io/Logging_VASTERVIK/klagomålsmail/A 11740-2023.docx")</f>
        <v/>
      </c>
      <c r="X17">
        <f>HYPERLINK("https://klasma.github.io/Logging_VASTERVIK/tillsyn/A 11740-2023.docx")</f>
        <v/>
      </c>
      <c r="Y17">
        <f>HYPERLINK("https://klasma.github.io/Logging_VASTERVIK/tillsynsmail/A 11740-2023.docx")</f>
        <v/>
      </c>
    </row>
    <row r="18" ht="15" customHeight="1">
      <c r="A18" t="inlineStr">
        <is>
          <t>A 30779-2023</t>
        </is>
      </c>
      <c r="B18" s="1" t="n">
        <v>45112</v>
      </c>
      <c r="C18" s="1" t="n">
        <v>45175</v>
      </c>
      <c r="D18" t="inlineStr">
        <is>
          <t>KALMAR LÄN</t>
        </is>
      </c>
      <c r="E18" t="inlineStr">
        <is>
          <t>VÄSTERVIK</t>
        </is>
      </c>
      <c r="G18" t="n">
        <v>14.5</v>
      </c>
      <c r="H18" t="n">
        <v>3</v>
      </c>
      <c r="I18" t="n">
        <v>1</v>
      </c>
      <c r="J18" t="n">
        <v>3</v>
      </c>
      <c r="K18" t="n">
        <v>2</v>
      </c>
      <c r="L18" t="n">
        <v>0</v>
      </c>
      <c r="M18" t="n">
        <v>0</v>
      </c>
      <c r="N18" t="n">
        <v>0</v>
      </c>
      <c r="O18" t="n">
        <v>5</v>
      </c>
      <c r="P18" t="n">
        <v>2</v>
      </c>
      <c r="Q18" t="n">
        <v>6</v>
      </c>
      <c r="R18" s="2" t="inlineStr">
        <is>
          <t>Knärot
Sandödla
Knölspindel
Tallticka
Talltita
Grönpyrola</t>
        </is>
      </c>
      <c r="S18">
        <f>HYPERLINK("https://klasma.github.io/Logging_VASTERVIK/artfynd/A 30779-2023.xlsx")</f>
        <v/>
      </c>
      <c r="T18">
        <f>HYPERLINK("https://klasma.github.io/Logging_VASTERVIK/kartor/A 30779-2023.png")</f>
        <v/>
      </c>
      <c r="U18">
        <f>HYPERLINK("https://klasma.github.io/Logging_VASTERVIK/knärot/A 30779-2023.png")</f>
        <v/>
      </c>
      <c r="V18">
        <f>HYPERLINK("https://klasma.github.io/Logging_VASTERVIK/klagomål/A 30779-2023.docx")</f>
        <v/>
      </c>
      <c r="W18">
        <f>HYPERLINK("https://klasma.github.io/Logging_VASTERVIK/klagomålsmail/A 30779-2023.docx")</f>
        <v/>
      </c>
      <c r="X18">
        <f>HYPERLINK("https://klasma.github.io/Logging_VASTERVIK/tillsyn/A 30779-2023.docx")</f>
        <v/>
      </c>
      <c r="Y18">
        <f>HYPERLINK("https://klasma.github.io/Logging_VASTERVIK/tillsynsmail/A 30779-2023.docx")</f>
        <v/>
      </c>
    </row>
    <row r="19" ht="15" customHeight="1">
      <c r="A19" t="inlineStr">
        <is>
          <t>A 63553-2018</t>
        </is>
      </c>
      <c r="B19" s="1" t="n">
        <v>43427</v>
      </c>
      <c r="C19" s="1" t="n">
        <v>45175</v>
      </c>
      <c r="D19" t="inlineStr">
        <is>
          <t>KALMAR LÄN</t>
        </is>
      </c>
      <c r="E19" t="inlineStr">
        <is>
          <t>VÄSTERVIK</t>
        </is>
      </c>
      <c r="F19" t="inlineStr">
        <is>
          <t>Övriga Aktiebolag</t>
        </is>
      </c>
      <c r="G19" t="n">
        <v>6.9</v>
      </c>
      <c r="H19" t="n">
        <v>1</v>
      </c>
      <c r="I19" t="n">
        <v>2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5</v>
      </c>
      <c r="R19" s="2" t="inlineStr">
        <is>
          <t>Ekticka
Lunglav
Blomskägglav
Ekskinn
Blåsippa</t>
        </is>
      </c>
      <c r="S19">
        <f>HYPERLINK("https://klasma.github.io/Logging_VASTERVIK/artfynd/A 63553-2018.xlsx")</f>
        <v/>
      </c>
      <c r="T19">
        <f>HYPERLINK("https://klasma.github.io/Logging_VASTERVIK/kartor/A 63553-2018.png")</f>
        <v/>
      </c>
      <c r="V19">
        <f>HYPERLINK("https://klasma.github.io/Logging_VASTERVIK/klagomål/A 63553-2018.docx")</f>
        <v/>
      </c>
      <c r="W19">
        <f>HYPERLINK("https://klasma.github.io/Logging_VASTERVIK/klagomålsmail/A 63553-2018.docx")</f>
        <v/>
      </c>
      <c r="X19">
        <f>HYPERLINK("https://klasma.github.io/Logging_VASTERVIK/tillsyn/A 63553-2018.docx")</f>
        <v/>
      </c>
      <c r="Y19">
        <f>HYPERLINK("https://klasma.github.io/Logging_VASTERVIK/tillsynsmail/A 63553-2018.docx")</f>
        <v/>
      </c>
    </row>
    <row r="20" ht="15" customHeight="1">
      <c r="A20" t="inlineStr">
        <is>
          <t>A 781-2023</t>
        </is>
      </c>
      <c r="B20" s="1" t="n">
        <v>44931</v>
      </c>
      <c r="C20" s="1" t="n">
        <v>45175</v>
      </c>
      <c r="D20" t="inlineStr">
        <is>
          <t>KALMAR LÄN</t>
        </is>
      </c>
      <c r="E20" t="inlineStr">
        <is>
          <t>VÄSTERVIK</t>
        </is>
      </c>
      <c r="F20" t="inlineStr">
        <is>
          <t>Holmen skog AB</t>
        </is>
      </c>
      <c r="G20" t="n">
        <v>4.3</v>
      </c>
      <c r="H20" t="n">
        <v>0</v>
      </c>
      <c r="I20" t="n">
        <v>3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5</v>
      </c>
      <c r="R20" s="2" t="inlineStr">
        <is>
          <t>Ekticka
Oxtungssvamp
Hasselticka
Läderskål
Stor aspticka</t>
        </is>
      </c>
      <c r="S20">
        <f>HYPERLINK("https://klasma.github.io/Logging_VASTERVIK/artfynd/A 781-2023.xlsx")</f>
        <v/>
      </c>
      <c r="T20">
        <f>HYPERLINK("https://klasma.github.io/Logging_VASTERVIK/kartor/A 781-2023.png")</f>
        <v/>
      </c>
      <c r="V20">
        <f>HYPERLINK("https://klasma.github.io/Logging_VASTERVIK/klagomål/A 781-2023.docx")</f>
        <v/>
      </c>
      <c r="W20">
        <f>HYPERLINK("https://klasma.github.io/Logging_VASTERVIK/klagomålsmail/A 781-2023.docx")</f>
        <v/>
      </c>
      <c r="X20">
        <f>HYPERLINK("https://klasma.github.io/Logging_VASTERVIK/tillsyn/A 781-2023.docx")</f>
        <v/>
      </c>
      <c r="Y20">
        <f>HYPERLINK("https://klasma.github.io/Logging_VASTERVIK/tillsynsmail/A 781-2023.docx")</f>
        <v/>
      </c>
    </row>
    <row r="21" ht="15" customHeight="1">
      <c r="A21" t="inlineStr">
        <is>
          <t>A 24863-2023</t>
        </is>
      </c>
      <c r="B21" s="1" t="n">
        <v>45078</v>
      </c>
      <c r="C21" s="1" t="n">
        <v>45175</v>
      </c>
      <c r="D21" t="inlineStr">
        <is>
          <t>KALMAR LÄN</t>
        </is>
      </c>
      <c r="E21" t="inlineStr">
        <is>
          <t>VÄSTERVIK</t>
        </is>
      </c>
      <c r="G21" t="n">
        <v>14.5</v>
      </c>
      <c r="H21" t="n">
        <v>3</v>
      </c>
      <c r="I21" t="n">
        <v>1</v>
      </c>
      <c r="J21" t="n">
        <v>3</v>
      </c>
      <c r="K21" t="n">
        <v>1</v>
      </c>
      <c r="L21" t="n">
        <v>0</v>
      </c>
      <c r="M21" t="n">
        <v>0</v>
      </c>
      <c r="N21" t="n">
        <v>0</v>
      </c>
      <c r="O21" t="n">
        <v>4</v>
      </c>
      <c r="P21" t="n">
        <v>1</v>
      </c>
      <c r="Q21" t="n">
        <v>5</v>
      </c>
      <c r="R21" s="2" t="inlineStr">
        <is>
          <t>Knärot
Entita
Tallticka
Talltita
Svart trolldruva</t>
        </is>
      </c>
      <c r="S21">
        <f>HYPERLINK("https://klasma.github.io/Logging_VASTERVIK/artfynd/A 24863-2023.xlsx")</f>
        <v/>
      </c>
      <c r="T21">
        <f>HYPERLINK("https://klasma.github.io/Logging_VASTERVIK/kartor/A 24863-2023.png")</f>
        <v/>
      </c>
      <c r="U21">
        <f>HYPERLINK("https://klasma.github.io/Logging_VASTERVIK/knärot/A 24863-2023.png")</f>
        <v/>
      </c>
      <c r="V21">
        <f>HYPERLINK("https://klasma.github.io/Logging_VASTERVIK/klagomål/A 24863-2023.docx")</f>
        <v/>
      </c>
      <c r="W21">
        <f>HYPERLINK("https://klasma.github.io/Logging_VASTERVIK/klagomålsmail/A 24863-2023.docx")</f>
        <v/>
      </c>
      <c r="X21">
        <f>HYPERLINK("https://klasma.github.io/Logging_VASTERVIK/tillsyn/A 24863-2023.docx")</f>
        <v/>
      </c>
      <c r="Y21">
        <f>HYPERLINK("https://klasma.github.io/Logging_VASTERVIK/tillsynsmail/A 24863-2023.docx")</f>
        <v/>
      </c>
    </row>
    <row r="22" ht="15" customHeight="1">
      <c r="A22" t="inlineStr">
        <is>
          <t>A 39665-2018</t>
        </is>
      </c>
      <c r="B22" s="1" t="n">
        <v>43341</v>
      </c>
      <c r="C22" s="1" t="n">
        <v>45175</v>
      </c>
      <c r="D22" t="inlineStr">
        <is>
          <t>KALMAR LÄN</t>
        </is>
      </c>
      <c r="E22" t="inlineStr">
        <is>
          <t>VÄSTERVIK</t>
        </is>
      </c>
      <c r="G22" t="n">
        <v>6.4</v>
      </c>
      <c r="H22" t="n">
        <v>1</v>
      </c>
      <c r="I22" t="n">
        <v>0</v>
      </c>
      <c r="J22" t="n">
        <v>2</v>
      </c>
      <c r="K22" t="n">
        <v>0</v>
      </c>
      <c r="L22" t="n">
        <v>0</v>
      </c>
      <c r="M22" t="n">
        <v>1</v>
      </c>
      <c r="N22" t="n">
        <v>0</v>
      </c>
      <c r="O22" t="n">
        <v>3</v>
      </c>
      <c r="P22" t="n">
        <v>1</v>
      </c>
      <c r="Q22" t="n">
        <v>4</v>
      </c>
      <c r="R22" s="2" t="inlineStr">
        <is>
          <t>Skogsalm
Vippärt
Åkerkulla
Nattviol</t>
        </is>
      </c>
      <c r="S22">
        <f>HYPERLINK("https://klasma.github.io/Logging_VASTERVIK/artfynd/A 39665-2018.xlsx")</f>
        <v/>
      </c>
      <c r="T22">
        <f>HYPERLINK("https://klasma.github.io/Logging_VASTERVIK/kartor/A 39665-2018.png")</f>
        <v/>
      </c>
      <c r="V22">
        <f>HYPERLINK("https://klasma.github.io/Logging_VASTERVIK/klagomål/A 39665-2018.docx")</f>
        <v/>
      </c>
      <c r="W22">
        <f>HYPERLINK("https://klasma.github.io/Logging_VASTERVIK/klagomålsmail/A 39665-2018.docx")</f>
        <v/>
      </c>
      <c r="X22">
        <f>HYPERLINK("https://klasma.github.io/Logging_VASTERVIK/tillsyn/A 39665-2018.docx")</f>
        <v/>
      </c>
      <c r="Y22">
        <f>HYPERLINK("https://klasma.github.io/Logging_VASTERVIK/tillsynsmail/A 39665-2018.docx")</f>
        <v/>
      </c>
    </row>
    <row r="23" ht="15" customHeight="1">
      <c r="A23" t="inlineStr">
        <is>
          <t>A 43862-2019</t>
        </is>
      </c>
      <c r="B23" s="1" t="n">
        <v>43707</v>
      </c>
      <c r="C23" s="1" t="n">
        <v>45175</v>
      </c>
      <c r="D23" t="inlineStr">
        <is>
          <t>KALMAR LÄN</t>
        </is>
      </c>
      <c r="E23" t="inlineStr">
        <is>
          <t>VÄSTERVIK</t>
        </is>
      </c>
      <c r="G23" t="n">
        <v>3.8</v>
      </c>
      <c r="H23" t="n">
        <v>1</v>
      </c>
      <c r="I23" t="n">
        <v>1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4</v>
      </c>
      <c r="R23" s="2" t="inlineStr">
        <is>
          <t>Knärot
Orange taggsvamp
Tallticka
Blomkålssvamp</t>
        </is>
      </c>
      <c r="S23">
        <f>HYPERLINK("https://klasma.github.io/Logging_VASTERVIK/artfynd/A 43862-2019.xlsx")</f>
        <v/>
      </c>
      <c r="T23">
        <f>HYPERLINK("https://klasma.github.io/Logging_VASTERVIK/kartor/A 43862-2019.png")</f>
        <v/>
      </c>
      <c r="U23">
        <f>HYPERLINK("https://klasma.github.io/Logging_VASTERVIK/knärot/A 43862-2019.png")</f>
        <v/>
      </c>
      <c r="V23">
        <f>HYPERLINK("https://klasma.github.io/Logging_VASTERVIK/klagomål/A 43862-2019.docx")</f>
        <v/>
      </c>
      <c r="W23">
        <f>HYPERLINK("https://klasma.github.io/Logging_VASTERVIK/klagomålsmail/A 43862-2019.docx")</f>
        <v/>
      </c>
      <c r="X23">
        <f>HYPERLINK("https://klasma.github.io/Logging_VASTERVIK/tillsyn/A 43862-2019.docx")</f>
        <v/>
      </c>
      <c r="Y23">
        <f>HYPERLINK("https://klasma.github.io/Logging_VASTERVIK/tillsynsmail/A 43862-2019.docx")</f>
        <v/>
      </c>
    </row>
    <row r="24" ht="15" customHeight="1">
      <c r="A24" t="inlineStr">
        <is>
          <t>A 3470-2020</t>
        </is>
      </c>
      <c r="B24" s="1" t="n">
        <v>43852</v>
      </c>
      <c r="C24" s="1" t="n">
        <v>45175</v>
      </c>
      <c r="D24" t="inlineStr">
        <is>
          <t>KALMAR LÄN</t>
        </is>
      </c>
      <c r="E24" t="inlineStr">
        <is>
          <t>VÄSTERVIK</t>
        </is>
      </c>
      <c r="F24" t="inlineStr">
        <is>
          <t>Sveaskog</t>
        </is>
      </c>
      <c r="G24" t="n">
        <v>1.4</v>
      </c>
      <c r="H24" t="n">
        <v>0</v>
      </c>
      <c r="I24" t="n">
        <v>0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4</v>
      </c>
      <c r="R24" s="2" t="inlineStr">
        <is>
          <t>Gammelekslav
Gul dropplav
Hjälmbrosklav
Skuggorangelav</t>
        </is>
      </c>
      <c r="S24">
        <f>HYPERLINK("https://klasma.github.io/Logging_VASTERVIK/artfynd/A 3470-2020.xlsx")</f>
        <v/>
      </c>
      <c r="T24">
        <f>HYPERLINK("https://klasma.github.io/Logging_VASTERVIK/kartor/A 3470-2020.png")</f>
        <v/>
      </c>
      <c r="V24">
        <f>HYPERLINK("https://klasma.github.io/Logging_VASTERVIK/klagomål/A 3470-2020.docx")</f>
        <v/>
      </c>
      <c r="W24">
        <f>HYPERLINK("https://klasma.github.io/Logging_VASTERVIK/klagomålsmail/A 3470-2020.docx")</f>
        <v/>
      </c>
      <c r="X24">
        <f>HYPERLINK("https://klasma.github.io/Logging_VASTERVIK/tillsyn/A 3470-2020.docx")</f>
        <v/>
      </c>
      <c r="Y24">
        <f>HYPERLINK("https://klasma.github.io/Logging_VASTERVIK/tillsynsmail/A 3470-2020.docx")</f>
        <v/>
      </c>
    </row>
    <row r="25" ht="15" customHeight="1">
      <c r="A25" t="inlineStr">
        <is>
          <t>A 15978-2020</t>
        </is>
      </c>
      <c r="B25" s="1" t="n">
        <v>43915</v>
      </c>
      <c r="C25" s="1" t="n">
        <v>45175</v>
      </c>
      <c r="D25" t="inlineStr">
        <is>
          <t>KALMAR LÄN</t>
        </is>
      </c>
      <c r="E25" t="inlineStr">
        <is>
          <t>VÄSTERVIK</t>
        </is>
      </c>
      <c r="G25" t="n">
        <v>3.8</v>
      </c>
      <c r="H25" t="n">
        <v>1</v>
      </c>
      <c r="I25" t="n">
        <v>1</v>
      </c>
      <c r="J25" t="n">
        <v>2</v>
      </c>
      <c r="K25" t="n">
        <v>1</v>
      </c>
      <c r="L25" t="n">
        <v>0</v>
      </c>
      <c r="M25" t="n">
        <v>0</v>
      </c>
      <c r="N25" t="n">
        <v>0</v>
      </c>
      <c r="O25" t="n">
        <v>3</v>
      </c>
      <c r="P25" t="n">
        <v>1</v>
      </c>
      <c r="Q25" t="n">
        <v>4</v>
      </c>
      <c r="R25" s="2" t="inlineStr">
        <is>
          <t>Knärot
Orange taggsvamp
Tallticka
Blomkålssvamp</t>
        </is>
      </c>
      <c r="S25">
        <f>HYPERLINK("https://klasma.github.io/Logging_VASTERVIK/artfynd/A 15978-2020.xlsx")</f>
        <v/>
      </c>
      <c r="T25">
        <f>HYPERLINK("https://klasma.github.io/Logging_VASTERVIK/kartor/A 15978-2020.png")</f>
        <v/>
      </c>
      <c r="U25">
        <f>HYPERLINK("https://klasma.github.io/Logging_VASTERVIK/knärot/A 15978-2020.png")</f>
        <v/>
      </c>
      <c r="V25">
        <f>HYPERLINK("https://klasma.github.io/Logging_VASTERVIK/klagomål/A 15978-2020.docx")</f>
        <v/>
      </c>
      <c r="W25">
        <f>HYPERLINK("https://klasma.github.io/Logging_VASTERVIK/klagomålsmail/A 15978-2020.docx")</f>
        <v/>
      </c>
      <c r="X25">
        <f>HYPERLINK("https://klasma.github.io/Logging_VASTERVIK/tillsyn/A 15978-2020.docx")</f>
        <v/>
      </c>
      <c r="Y25">
        <f>HYPERLINK("https://klasma.github.io/Logging_VASTERVIK/tillsynsmail/A 15978-2020.docx")</f>
        <v/>
      </c>
    </row>
    <row r="26" ht="15" customHeight="1">
      <c r="A26" t="inlineStr">
        <is>
          <t>A 55017-2021</t>
        </is>
      </c>
      <c r="B26" s="1" t="n">
        <v>44474</v>
      </c>
      <c r="C26" s="1" t="n">
        <v>45175</v>
      </c>
      <c r="D26" t="inlineStr">
        <is>
          <t>KALMAR LÄN</t>
        </is>
      </c>
      <c r="E26" t="inlineStr">
        <is>
          <t>VÄSTERVIK</t>
        </is>
      </c>
      <c r="G26" t="n">
        <v>16.4</v>
      </c>
      <c r="H26" t="n">
        <v>1</v>
      </c>
      <c r="I26" t="n">
        <v>1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4</v>
      </c>
      <c r="R26" s="2" t="inlineStr">
        <is>
          <t>Motaggsvamp
Tallticka
Talltita
Fjällig taggsvamp s.str.</t>
        </is>
      </c>
      <c r="S26">
        <f>HYPERLINK("https://klasma.github.io/Logging_VASTERVIK/artfynd/A 55017-2021.xlsx")</f>
        <v/>
      </c>
      <c r="T26">
        <f>HYPERLINK("https://klasma.github.io/Logging_VASTERVIK/kartor/A 55017-2021.png")</f>
        <v/>
      </c>
      <c r="U26">
        <f>HYPERLINK("https://klasma.github.io/Logging_VASTERVIK/knärot/A 55017-2021.png")</f>
        <v/>
      </c>
      <c r="V26">
        <f>HYPERLINK("https://klasma.github.io/Logging_VASTERVIK/klagomål/A 55017-2021.docx")</f>
        <v/>
      </c>
      <c r="W26">
        <f>HYPERLINK("https://klasma.github.io/Logging_VASTERVIK/klagomålsmail/A 55017-2021.docx")</f>
        <v/>
      </c>
      <c r="X26">
        <f>HYPERLINK("https://klasma.github.io/Logging_VASTERVIK/tillsyn/A 55017-2021.docx")</f>
        <v/>
      </c>
      <c r="Y26">
        <f>HYPERLINK("https://klasma.github.io/Logging_VASTERVIK/tillsynsmail/A 55017-2021.docx")</f>
        <v/>
      </c>
    </row>
    <row r="27" ht="15" customHeight="1">
      <c r="A27" t="inlineStr">
        <is>
          <t>A 63850-2021</t>
        </is>
      </c>
      <c r="B27" s="1" t="n">
        <v>44505</v>
      </c>
      <c r="C27" s="1" t="n">
        <v>45175</v>
      </c>
      <c r="D27" t="inlineStr">
        <is>
          <t>KALMAR LÄN</t>
        </is>
      </c>
      <c r="E27" t="inlineStr">
        <is>
          <t>VÄSTERVIK</t>
        </is>
      </c>
      <c r="G27" t="n">
        <v>2.7</v>
      </c>
      <c r="H27" t="n">
        <v>3</v>
      </c>
      <c r="I27" t="n">
        <v>1</v>
      </c>
      <c r="J27" t="n">
        <v>2</v>
      </c>
      <c r="K27" t="n">
        <v>1</v>
      </c>
      <c r="L27" t="n">
        <v>0</v>
      </c>
      <c r="M27" t="n">
        <v>0</v>
      </c>
      <c r="N27" t="n">
        <v>0</v>
      </c>
      <c r="O27" t="n">
        <v>3</v>
      </c>
      <c r="P27" t="n">
        <v>1</v>
      </c>
      <c r="Q27" t="n">
        <v>4</v>
      </c>
      <c r="R27" s="2" t="inlineStr">
        <is>
          <t>Knärot
Talltita
Ullticka
Grön sköldmossa</t>
        </is>
      </c>
      <c r="S27">
        <f>HYPERLINK("https://klasma.github.io/Logging_VASTERVIK/artfynd/A 63850-2021.xlsx")</f>
        <v/>
      </c>
      <c r="T27">
        <f>HYPERLINK("https://klasma.github.io/Logging_VASTERVIK/kartor/A 63850-2021.png")</f>
        <v/>
      </c>
      <c r="U27">
        <f>HYPERLINK("https://klasma.github.io/Logging_VASTERVIK/knärot/A 63850-2021.png")</f>
        <v/>
      </c>
      <c r="V27">
        <f>HYPERLINK("https://klasma.github.io/Logging_VASTERVIK/klagomål/A 63850-2021.docx")</f>
        <v/>
      </c>
      <c r="W27">
        <f>HYPERLINK("https://klasma.github.io/Logging_VASTERVIK/klagomålsmail/A 63850-2021.docx")</f>
        <v/>
      </c>
      <c r="X27">
        <f>HYPERLINK("https://klasma.github.io/Logging_VASTERVIK/tillsyn/A 63850-2021.docx")</f>
        <v/>
      </c>
      <c r="Y27">
        <f>HYPERLINK("https://klasma.github.io/Logging_VASTERVIK/tillsynsmail/A 63850-2021.docx")</f>
        <v/>
      </c>
    </row>
    <row r="28" ht="15" customHeight="1">
      <c r="A28" t="inlineStr">
        <is>
          <t>A 51923-2022</t>
        </is>
      </c>
      <c r="B28" s="1" t="n">
        <v>44868</v>
      </c>
      <c r="C28" s="1" t="n">
        <v>45175</v>
      </c>
      <c r="D28" t="inlineStr">
        <is>
          <t>KALMAR LÄN</t>
        </is>
      </c>
      <c r="E28" t="inlineStr">
        <is>
          <t>VÄSTERVIK</t>
        </is>
      </c>
      <c r="G28" t="n">
        <v>6.5</v>
      </c>
      <c r="H28" t="n">
        <v>1</v>
      </c>
      <c r="I28" t="n">
        <v>3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4</v>
      </c>
      <c r="R28" s="2" t="inlineStr">
        <is>
          <t>Hasselticka
Svart trolldruva
Vätteros
Blåsippa</t>
        </is>
      </c>
      <c r="S28">
        <f>HYPERLINK("https://klasma.github.io/Logging_VASTERVIK/artfynd/A 51923-2022.xlsx")</f>
        <v/>
      </c>
      <c r="T28">
        <f>HYPERLINK("https://klasma.github.io/Logging_VASTERVIK/kartor/A 51923-2022.png")</f>
        <v/>
      </c>
      <c r="V28">
        <f>HYPERLINK("https://klasma.github.io/Logging_VASTERVIK/klagomål/A 51923-2022.docx")</f>
        <v/>
      </c>
      <c r="W28">
        <f>HYPERLINK("https://klasma.github.io/Logging_VASTERVIK/klagomålsmail/A 51923-2022.docx")</f>
        <v/>
      </c>
      <c r="X28">
        <f>HYPERLINK("https://klasma.github.io/Logging_VASTERVIK/tillsyn/A 51923-2022.docx")</f>
        <v/>
      </c>
      <c r="Y28">
        <f>HYPERLINK("https://klasma.github.io/Logging_VASTERVIK/tillsynsmail/A 51923-2022.docx")</f>
        <v/>
      </c>
    </row>
    <row r="29" ht="15" customHeight="1">
      <c r="A29" t="inlineStr">
        <is>
          <t>A 9097-2021</t>
        </is>
      </c>
      <c r="B29" s="1" t="n">
        <v>44249</v>
      </c>
      <c r="C29" s="1" t="n">
        <v>45175</v>
      </c>
      <c r="D29" t="inlineStr">
        <is>
          <t>KALMAR LÄN</t>
        </is>
      </c>
      <c r="E29" t="inlineStr">
        <is>
          <t>VÄSTERVIK</t>
        </is>
      </c>
      <c r="F29" t="inlineStr">
        <is>
          <t>Sveaskog</t>
        </is>
      </c>
      <c r="G29" t="n">
        <v>1.9</v>
      </c>
      <c r="H29" t="n">
        <v>0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Tallticka
Vedskivlav
Vätteros</t>
        </is>
      </c>
      <c r="S29">
        <f>HYPERLINK("https://klasma.github.io/Logging_VASTERVIK/artfynd/A 9097-2021.xlsx")</f>
        <v/>
      </c>
      <c r="T29">
        <f>HYPERLINK("https://klasma.github.io/Logging_VASTERVIK/kartor/A 9097-2021.png")</f>
        <v/>
      </c>
      <c r="V29">
        <f>HYPERLINK("https://klasma.github.io/Logging_VASTERVIK/klagomål/A 9097-2021.docx")</f>
        <v/>
      </c>
      <c r="W29">
        <f>HYPERLINK("https://klasma.github.io/Logging_VASTERVIK/klagomålsmail/A 9097-2021.docx")</f>
        <v/>
      </c>
      <c r="X29">
        <f>HYPERLINK("https://klasma.github.io/Logging_VASTERVIK/tillsyn/A 9097-2021.docx")</f>
        <v/>
      </c>
      <c r="Y29">
        <f>HYPERLINK("https://klasma.github.io/Logging_VASTERVIK/tillsynsmail/A 9097-2021.docx")</f>
        <v/>
      </c>
    </row>
    <row r="30" ht="15" customHeight="1">
      <c r="A30" t="inlineStr">
        <is>
          <t>A 25280-2021</t>
        </is>
      </c>
      <c r="B30" s="1" t="n">
        <v>44342</v>
      </c>
      <c r="C30" s="1" t="n">
        <v>45175</v>
      </c>
      <c r="D30" t="inlineStr">
        <is>
          <t>KALMAR LÄN</t>
        </is>
      </c>
      <c r="E30" t="inlineStr">
        <is>
          <t>VÄSTERVIK</t>
        </is>
      </c>
      <c r="G30" t="n">
        <v>6.5</v>
      </c>
      <c r="H30" t="n">
        <v>3</v>
      </c>
      <c r="I30" t="n">
        <v>0</v>
      </c>
      <c r="J30" t="n">
        <v>2</v>
      </c>
      <c r="K30" t="n">
        <v>1</v>
      </c>
      <c r="L30" t="n">
        <v>0</v>
      </c>
      <c r="M30" t="n">
        <v>0</v>
      </c>
      <c r="N30" t="n">
        <v>0</v>
      </c>
      <c r="O30" t="n">
        <v>3</v>
      </c>
      <c r="P30" t="n">
        <v>1</v>
      </c>
      <c r="Q30" t="n">
        <v>3</v>
      </c>
      <c r="R30" s="2" t="inlineStr">
        <is>
          <t>Knärot
Spillkråka
Talltita</t>
        </is>
      </c>
      <c r="S30">
        <f>HYPERLINK("https://klasma.github.io/Logging_VASTERVIK/artfynd/A 25280-2021.xlsx")</f>
        <v/>
      </c>
      <c r="T30">
        <f>HYPERLINK("https://klasma.github.io/Logging_VASTERVIK/kartor/A 25280-2021.png")</f>
        <v/>
      </c>
      <c r="U30">
        <f>HYPERLINK("https://klasma.github.io/Logging_VASTERVIK/knärot/A 25280-2021.png")</f>
        <v/>
      </c>
      <c r="V30">
        <f>HYPERLINK("https://klasma.github.io/Logging_VASTERVIK/klagomål/A 25280-2021.docx")</f>
        <v/>
      </c>
      <c r="W30">
        <f>HYPERLINK("https://klasma.github.io/Logging_VASTERVIK/klagomålsmail/A 25280-2021.docx")</f>
        <v/>
      </c>
      <c r="X30">
        <f>HYPERLINK("https://klasma.github.io/Logging_VASTERVIK/tillsyn/A 25280-2021.docx")</f>
        <v/>
      </c>
      <c r="Y30">
        <f>HYPERLINK("https://klasma.github.io/Logging_VASTERVIK/tillsynsmail/A 25280-2021.docx")</f>
        <v/>
      </c>
    </row>
    <row r="31" ht="15" customHeight="1">
      <c r="A31" t="inlineStr">
        <is>
          <t>A 63813-2021</t>
        </is>
      </c>
      <c r="B31" s="1" t="n">
        <v>44505</v>
      </c>
      <c r="C31" s="1" t="n">
        <v>45175</v>
      </c>
      <c r="D31" t="inlineStr">
        <is>
          <t>KALMAR LÄN</t>
        </is>
      </c>
      <c r="E31" t="inlineStr">
        <is>
          <t>VÄSTERVIK</t>
        </is>
      </c>
      <c r="G31" t="n">
        <v>4.4</v>
      </c>
      <c r="H31" t="n">
        <v>1</v>
      </c>
      <c r="I31" t="n">
        <v>1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3</v>
      </c>
      <c r="R31" s="2" t="inlineStr">
        <is>
          <t>Tallticka
Talltita
Grovticka</t>
        </is>
      </c>
      <c r="S31">
        <f>HYPERLINK("https://klasma.github.io/Logging_VASTERVIK/artfynd/A 63813-2021.xlsx")</f>
        <v/>
      </c>
      <c r="T31">
        <f>HYPERLINK("https://klasma.github.io/Logging_VASTERVIK/kartor/A 63813-2021.png")</f>
        <v/>
      </c>
      <c r="U31">
        <f>HYPERLINK("https://klasma.github.io/Logging_VASTERVIK/knärot/A 63813-2021.png")</f>
        <v/>
      </c>
      <c r="V31">
        <f>HYPERLINK("https://klasma.github.io/Logging_VASTERVIK/klagomål/A 63813-2021.docx")</f>
        <v/>
      </c>
      <c r="W31">
        <f>HYPERLINK("https://klasma.github.io/Logging_VASTERVIK/klagomålsmail/A 63813-2021.docx")</f>
        <v/>
      </c>
      <c r="X31">
        <f>HYPERLINK("https://klasma.github.io/Logging_VASTERVIK/tillsyn/A 63813-2021.docx")</f>
        <v/>
      </c>
      <c r="Y31">
        <f>HYPERLINK("https://klasma.github.io/Logging_VASTERVIK/tillsynsmail/A 63813-2021.docx")</f>
        <v/>
      </c>
    </row>
    <row r="32" ht="15" customHeight="1">
      <c r="A32" t="inlineStr">
        <is>
          <t>A 68416-2021</t>
        </is>
      </c>
      <c r="B32" s="1" t="n">
        <v>44529</v>
      </c>
      <c r="C32" s="1" t="n">
        <v>45175</v>
      </c>
      <c r="D32" t="inlineStr">
        <is>
          <t>KALMAR LÄN</t>
        </is>
      </c>
      <c r="E32" t="inlineStr">
        <is>
          <t>VÄSTERVIK</t>
        </is>
      </c>
      <c r="F32" t="inlineStr">
        <is>
          <t>Kyrkan</t>
        </is>
      </c>
      <c r="G32" t="n">
        <v>10.5</v>
      </c>
      <c r="H32" t="n">
        <v>2</v>
      </c>
      <c r="I32" t="n">
        <v>0</v>
      </c>
      <c r="J32" t="n">
        <v>2</v>
      </c>
      <c r="K32" t="n">
        <v>1</v>
      </c>
      <c r="L32" t="n">
        <v>0</v>
      </c>
      <c r="M32" t="n">
        <v>0</v>
      </c>
      <c r="N32" t="n">
        <v>0</v>
      </c>
      <c r="O32" t="n">
        <v>3</v>
      </c>
      <c r="P32" t="n">
        <v>1</v>
      </c>
      <c r="Q32" t="n">
        <v>3</v>
      </c>
      <c r="R32" s="2" t="inlineStr">
        <is>
          <t>Knärot
Tallticka
Talltita</t>
        </is>
      </c>
      <c r="S32">
        <f>HYPERLINK("https://klasma.github.io/Logging_VASTERVIK/artfynd/A 68416-2021.xlsx")</f>
        <v/>
      </c>
      <c r="T32">
        <f>HYPERLINK("https://klasma.github.io/Logging_VASTERVIK/kartor/A 68416-2021.png")</f>
        <v/>
      </c>
      <c r="U32">
        <f>HYPERLINK("https://klasma.github.io/Logging_VASTERVIK/knärot/A 68416-2021.png")</f>
        <v/>
      </c>
      <c r="V32">
        <f>HYPERLINK("https://klasma.github.io/Logging_VASTERVIK/klagomål/A 68416-2021.docx")</f>
        <v/>
      </c>
      <c r="W32">
        <f>HYPERLINK("https://klasma.github.io/Logging_VASTERVIK/klagomålsmail/A 68416-2021.docx")</f>
        <v/>
      </c>
      <c r="X32">
        <f>HYPERLINK("https://klasma.github.io/Logging_VASTERVIK/tillsyn/A 68416-2021.docx")</f>
        <v/>
      </c>
      <c r="Y32">
        <f>HYPERLINK("https://klasma.github.io/Logging_VASTERVIK/tillsynsmail/A 68416-2021.docx")</f>
        <v/>
      </c>
    </row>
    <row r="33" ht="15" customHeight="1">
      <c r="A33" t="inlineStr">
        <is>
          <t>A 55506-2022</t>
        </is>
      </c>
      <c r="B33" s="1" t="n">
        <v>44887</v>
      </c>
      <c r="C33" s="1" t="n">
        <v>45175</v>
      </c>
      <c r="D33" t="inlineStr">
        <is>
          <t>KALMAR LÄN</t>
        </is>
      </c>
      <c r="E33" t="inlineStr">
        <is>
          <t>VÄSTERVIK</t>
        </is>
      </c>
      <c r="G33" t="n">
        <v>3.4</v>
      </c>
      <c r="H33" t="n">
        <v>0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Tallticka
Ullticka
Trädporella</t>
        </is>
      </c>
      <c r="S33">
        <f>HYPERLINK("https://klasma.github.io/Logging_VASTERVIK/artfynd/A 55506-2022.xlsx")</f>
        <v/>
      </c>
      <c r="T33">
        <f>HYPERLINK("https://klasma.github.io/Logging_VASTERVIK/kartor/A 55506-2022.png")</f>
        <v/>
      </c>
      <c r="V33">
        <f>HYPERLINK("https://klasma.github.io/Logging_VASTERVIK/klagomål/A 55506-2022.docx")</f>
        <v/>
      </c>
      <c r="W33">
        <f>HYPERLINK("https://klasma.github.io/Logging_VASTERVIK/klagomålsmail/A 55506-2022.docx")</f>
        <v/>
      </c>
      <c r="X33">
        <f>HYPERLINK("https://klasma.github.io/Logging_VASTERVIK/tillsyn/A 55506-2022.docx")</f>
        <v/>
      </c>
      <c r="Y33">
        <f>HYPERLINK("https://klasma.github.io/Logging_VASTERVIK/tillsynsmail/A 55506-2022.docx")</f>
        <v/>
      </c>
    </row>
    <row r="34" ht="15" customHeight="1">
      <c r="A34" t="inlineStr">
        <is>
          <t>A 58955-2022</t>
        </is>
      </c>
      <c r="B34" s="1" t="n">
        <v>44896</v>
      </c>
      <c r="C34" s="1" t="n">
        <v>45175</v>
      </c>
      <c r="D34" t="inlineStr">
        <is>
          <t>KALMAR LÄN</t>
        </is>
      </c>
      <c r="E34" t="inlineStr">
        <is>
          <t>VÄSTERVIK</t>
        </is>
      </c>
      <c r="G34" t="n">
        <v>4.5</v>
      </c>
      <c r="H34" t="n">
        <v>1</v>
      </c>
      <c r="I34" t="n">
        <v>1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3</v>
      </c>
      <c r="R34" s="2" t="inlineStr">
        <is>
          <t>Knärot
Tallticka
Hasselticka</t>
        </is>
      </c>
      <c r="S34">
        <f>HYPERLINK("https://klasma.github.io/Logging_VASTERVIK/artfynd/A 58955-2022.xlsx")</f>
        <v/>
      </c>
      <c r="T34">
        <f>HYPERLINK("https://klasma.github.io/Logging_VASTERVIK/kartor/A 58955-2022.png")</f>
        <v/>
      </c>
      <c r="U34">
        <f>HYPERLINK("https://klasma.github.io/Logging_VASTERVIK/knärot/A 58955-2022.png")</f>
        <v/>
      </c>
      <c r="V34">
        <f>HYPERLINK("https://klasma.github.io/Logging_VASTERVIK/klagomål/A 58955-2022.docx")</f>
        <v/>
      </c>
      <c r="W34">
        <f>HYPERLINK("https://klasma.github.io/Logging_VASTERVIK/klagomålsmail/A 58955-2022.docx")</f>
        <v/>
      </c>
      <c r="X34">
        <f>HYPERLINK("https://klasma.github.io/Logging_VASTERVIK/tillsyn/A 58955-2022.docx")</f>
        <v/>
      </c>
      <c r="Y34">
        <f>HYPERLINK("https://klasma.github.io/Logging_VASTERVIK/tillsynsmail/A 58955-2022.docx")</f>
        <v/>
      </c>
    </row>
    <row r="35" ht="15" customHeight="1">
      <c r="A35" t="inlineStr">
        <is>
          <t>A 12708-2023</t>
        </is>
      </c>
      <c r="B35" s="1" t="n">
        <v>45000</v>
      </c>
      <c r="C35" s="1" t="n">
        <v>45175</v>
      </c>
      <c r="D35" t="inlineStr">
        <is>
          <t>KALMAR LÄN</t>
        </is>
      </c>
      <c r="E35" t="inlineStr">
        <is>
          <t>VÄSTERVIK</t>
        </is>
      </c>
      <c r="G35" t="n">
        <v>8.6</v>
      </c>
      <c r="H35" t="n">
        <v>2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3</v>
      </c>
      <c r="R35" s="2" t="inlineStr">
        <is>
          <t>Knärot
Tallticka
Talltita</t>
        </is>
      </c>
      <c r="S35">
        <f>HYPERLINK("https://klasma.github.io/Logging_VASTERVIK/artfynd/A 12708-2023.xlsx")</f>
        <v/>
      </c>
      <c r="T35">
        <f>HYPERLINK("https://klasma.github.io/Logging_VASTERVIK/kartor/A 12708-2023.png")</f>
        <v/>
      </c>
      <c r="U35">
        <f>HYPERLINK("https://klasma.github.io/Logging_VASTERVIK/knärot/A 12708-2023.png")</f>
        <v/>
      </c>
      <c r="V35">
        <f>HYPERLINK("https://klasma.github.io/Logging_VASTERVIK/klagomål/A 12708-2023.docx")</f>
        <v/>
      </c>
      <c r="W35">
        <f>HYPERLINK("https://klasma.github.io/Logging_VASTERVIK/klagomålsmail/A 12708-2023.docx")</f>
        <v/>
      </c>
      <c r="X35">
        <f>HYPERLINK("https://klasma.github.io/Logging_VASTERVIK/tillsyn/A 12708-2023.docx")</f>
        <v/>
      </c>
      <c r="Y35">
        <f>HYPERLINK("https://klasma.github.io/Logging_VASTERVIK/tillsynsmail/A 12708-2023.docx")</f>
        <v/>
      </c>
    </row>
    <row r="36" ht="15" customHeight="1">
      <c r="A36" t="inlineStr">
        <is>
          <t>A 35376-2018</t>
        </is>
      </c>
      <c r="B36" s="1" t="n">
        <v>43325</v>
      </c>
      <c r="C36" s="1" t="n">
        <v>45175</v>
      </c>
      <c r="D36" t="inlineStr">
        <is>
          <t>KALMAR LÄN</t>
        </is>
      </c>
      <c r="E36" t="inlineStr">
        <is>
          <t>VÄSTERVIK</t>
        </is>
      </c>
      <c r="F36" t="inlineStr">
        <is>
          <t>Sveaskog</t>
        </is>
      </c>
      <c r="G36" t="n">
        <v>4.2</v>
      </c>
      <c r="H36" t="n">
        <v>2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Barbastell
Nordfladdermus</t>
        </is>
      </c>
      <c r="S36">
        <f>HYPERLINK("https://klasma.github.io/Logging_VASTERVIK/artfynd/A 35376-2018.xlsx")</f>
        <v/>
      </c>
      <c r="T36">
        <f>HYPERLINK("https://klasma.github.io/Logging_VASTERVIK/kartor/A 35376-2018.png")</f>
        <v/>
      </c>
      <c r="V36">
        <f>HYPERLINK("https://klasma.github.io/Logging_VASTERVIK/klagomål/A 35376-2018.docx")</f>
        <v/>
      </c>
      <c r="W36">
        <f>HYPERLINK("https://klasma.github.io/Logging_VASTERVIK/klagomålsmail/A 35376-2018.docx")</f>
        <v/>
      </c>
      <c r="X36">
        <f>HYPERLINK("https://klasma.github.io/Logging_VASTERVIK/tillsyn/A 35376-2018.docx")</f>
        <v/>
      </c>
      <c r="Y36">
        <f>HYPERLINK("https://klasma.github.io/Logging_VASTERVIK/tillsynsmail/A 35376-2018.docx")</f>
        <v/>
      </c>
    </row>
    <row r="37" ht="15" customHeight="1">
      <c r="A37" t="inlineStr">
        <is>
          <t>A 64053-2018</t>
        </is>
      </c>
      <c r="B37" s="1" t="n">
        <v>43418</v>
      </c>
      <c r="C37" s="1" t="n">
        <v>45175</v>
      </c>
      <c r="D37" t="inlineStr">
        <is>
          <t>KALMAR LÄN</t>
        </is>
      </c>
      <c r="E37" t="inlineStr">
        <is>
          <t>VÄSTERVIK</t>
        </is>
      </c>
      <c r="G37" t="n">
        <v>3</v>
      </c>
      <c r="H37" t="n">
        <v>0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Tallticka
Blåmossa</t>
        </is>
      </c>
      <c r="S37">
        <f>HYPERLINK("https://klasma.github.io/Logging_VASTERVIK/artfynd/A 64053-2018.xlsx")</f>
        <v/>
      </c>
      <c r="T37">
        <f>HYPERLINK("https://klasma.github.io/Logging_VASTERVIK/kartor/A 64053-2018.png")</f>
        <v/>
      </c>
      <c r="V37">
        <f>HYPERLINK("https://klasma.github.io/Logging_VASTERVIK/klagomål/A 64053-2018.docx")</f>
        <v/>
      </c>
      <c r="W37">
        <f>HYPERLINK("https://klasma.github.io/Logging_VASTERVIK/klagomålsmail/A 64053-2018.docx")</f>
        <v/>
      </c>
      <c r="X37">
        <f>HYPERLINK("https://klasma.github.io/Logging_VASTERVIK/tillsyn/A 64053-2018.docx")</f>
        <v/>
      </c>
      <c r="Y37">
        <f>HYPERLINK("https://klasma.github.io/Logging_VASTERVIK/tillsynsmail/A 64053-2018.docx")</f>
        <v/>
      </c>
    </row>
    <row r="38" ht="15" customHeight="1">
      <c r="A38" t="inlineStr">
        <is>
          <t>A 7907-2019</t>
        </is>
      </c>
      <c r="B38" s="1" t="n">
        <v>43500</v>
      </c>
      <c r="C38" s="1" t="n">
        <v>45175</v>
      </c>
      <c r="D38" t="inlineStr">
        <is>
          <t>KALMAR LÄN</t>
        </is>
      </c>
      <c r="E38" t="inlineStr">
        <is>
          <t>VÄSTERVIK</t>
        </is>
      </c>
      <c r="G38" t="n">
        <v>3</v>
      </c>
      <c r="H38" t="n">
        <v>0</v>
      </c>
      <c r="I38" t="n">
        <v>2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2</v>
      </c>
      <c r="R38" s="2" t="inlineStr">
        <is>
          <t>Grov fjädermossa
Platt fjädermossa</t>
        </is>
      </c>
      <c r="S38">
        <f>HYPERLINK("https://klasma.github.io/Logging_VASTERVIK/artfynd/A 7907-2019.xlsx")</f>
        <v/>
      </c>
      <c r="T38">
        <f>HYPERLINK("https://klasma.github.io/Logging_VASTERVIK/kartor/A 7907-2019.png")</f>
        <v/>
      </c>
      <c r="V38">
        <f>HYPERLINK("https://klasma.github.io/Logging_VASTERVIK/klagomål/A 7907-2019.docx")</f>
        <v/>
      </c>
      <c r="W38">
        <f>HYPERLINK("https://klasma.github.io/Logging_VASTERVIK/klagomålsmail/A 7907-2019.docx")</f>
        <v/>
      </c>
      <c r="X38">
        <f>HYPERLINK("https://klasma.github.io/Logging_VASTERVIK/tillsyn/A 7907-2019.docx")</f>
        <v/>
      </c>
      <c r="Y38">
        <f>HYPERLINK("https://klasma.github.io/Logging_VASTERVIK/tillsynsmail/A 7907-2019.docx")</f>
        <v/>
      </c>
    </row>
    <row r="39" ht="15" customHeight="1">
      <c r="A39" t="inlineStr">
        <is>
          <t>A 62128-2019</t>
        </is>
      </c>
      <c r="B39" s="1" t="n">
        <v>43782</v>
      </c>
      <c r="C39" s="1" t="n">
        <v>45175</v>
      </c>
      <c r="D39" t="inlineStr">
        <is>
          <t>KALMAR LÄN</t>
        </is>
      </c>
      <c r="E39" t="inlineStr">
        <is>
          <t>VÄSTERVIK</t>
        </is>
      </c>
      <c r="G39" t="n">
        <v>7.5</v>
      </c>
      <c r="H39" t="n">
        <v>0</v>
      </c>
      <c r="I39" t="n">
        <v>1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Ullticka
Kattfotslav</t>
        </is>
      </c>
      <c r="S39">
        <f>HYPERLINK("https://klasma.github.io/Logging_VASTERVIK/artfynd/A 62128-2019.xlsx")</f>
        <v/>
      </c>
      <c r="T39">
        <f>HYPERLINK("https://klasma.github.io/Logging_VASTERVIK/kartor/A 62128-2019.png")</f>
        <v/>
      </c>
      <c r="V39">
        <f>HYPERLINK("https://klasma.github.io/Logging_VASTERVIK/klagomål/A 62128-2019.docx")</f>
        <v/>
      </c>
      <c r="W39">
        <f>HYPERLINK("https://klasma.github.io/Logging_VASTERVIK/klagomålsmail/A 62128-2019.docx")</f>
        <v/>
      </c>
      <c r="X39">
        <f>HYPERLINK("https://klasma.github.io/Logging_VASTERVIK/tillsyn/A 62128-2019.docx")</f>
        <v/>
      </c>
      <c r="Y39">
        <f>HYPERLINK("https://klasma.github.io/Logging_VASTERVIK/tillsynsmail/A 62128-2019.docx")</f>
        <v/>
      </c>
    </row>
    <row r="40" ht="15" customHeight="1">
      <c r="A40" t="inlineStr">
        <is>
          <t>A 1955-2021</t>
        </is>
      </c>
      <c r="B40" s="1" t="n">
        <v>44210</v>
      </c>
      <c r="C40" s="1" t="n">
        <v>45175</v>
      </c>
      <c r="D40" t="inlineStr">
        <is>
          <t>KALMAR LÄN</t>
        </is>
      </c>
      <c r="E40" t="inlineStr">
        <is>
          <t>VÄSTERVIK</t>
        </is>
      </c>
      <c r="G40" t="n">
        <v>5.3</v>
      </c>
      <c r="H40" t="n">
        <v>2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Spillkråka
Talltita</t>
        </is>
      </c>
      <c r="S40">
        <f>HYPERLINK("https://klasma.github.io/Logging_VASTERVIK/artfynd/A 1955-2021.xlsx")</f>
        <v/>
      </c>
      <c r="T40">
        <f>HYPERLINK("https://klasma.github.io/Logging_VASTERVIK/kartor/A 1955-2021.png")</f>
        <v/>
      </c>
      <c r="V40">
        <f>HYPERLINK("https://klasma.github.io/Logging_VASTERVIK/klagomål/A 1955-2021.docx")</f>
        <v/>
      </c>
      <c r="W40">
        <f>HYPERLINK("https://klasma.github.io/Logging_VASTERVIK/klagomålsmail/A 1955-2021.docx")</f>
        <v/>
      </c>
      <c r="X40">
        <f>HYPERLINK("https://klasma.github.io/Logging_VASTERVIK/tillsyn/A 1955-2021.docx")</f>
        <v/>
      </c>
      <c r="Y40">
        <f>HYPERLINK("https://klasma.github.io/Logging_VASTERVIK/tillsynsmail/A 1955-2021.docx")</f>
        <v/>
      </c>
    </row>
    <row r="41" ht="15" customHeight="1">
      <c r="A41" t="inlineStr">
        <is>
          <t>A 21665-2021</t>
        </is>
      </c>
      <c r="B41" s="1" t="n">
        <v>44322</v>
      </c>
      <c r="C41" s="1" t="n">
        <v>45175</v>
      </c>
      <c r="D41" t="inlineStr">
        <is>
          <t>KALMAR LÄN</t>
        </is>
      </c>
      <c r="E41" t="inlineStr">
        <is>
          <t>VÄSTERVIK</t>
        </is>
      </c>
      <c r="G41" t="n">
        <v>18.9</v>
      </c>
      <c r="H41" t="n">
        <v>0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Klubbsprötad bastardsvärmare
Smalsprötad bastardsvärmare</t>
        </is>
      </c>
      <c r="S41">
        <f>HYPERLINK("https://klasma.github.io/Logging_VASTERVIK/artfynd/A 21665-2021.xlsx")</f>
        <v/>
      </c>
      <c r="T41">
        <f>HYPERLINK("https://klasma.github.io/Logging_VASTERVIK/kartor/A 21665-2021.png")</f>
        <v/>
      </c>
      <c r="V41">
        <f>HYPERLINK("https://klasma.github.io/Logging_VASTERVIK/klagomål/A 21665-2021.docx")</f>
        <v/>
      </c>
      <c r="W41">
        <f>HYPERLINK("https://klasma.github.io/Logging_VASTERVIK/klagomålsmail/A 21665-2021.docx")</f>
        <v/>
      </c>
      <c r="X41">
        <f>HYPERLINK("https://klasma.github.io/Logging_VASTERVIK/tillsyn/A 21665-2021.docx")</f>
        <v/>
      </c>
      <c r="Y41">
        <f>HYPERLINK("https://klasma.github.io/Logging_VASTERVIK/tillsynsmail/A 21665-2021.docx")</f>
        <v/>
      </c>
    </row>
    <row r="42" ht="15" customHeight="1">
      <c r="A42" t="inlineStr">
        <is>
          <t>A 44667-2021</t>
        </is>
      </c>
      <c r="B42" s="1" t="n">
        <v>44438</v>
      </c>
      <c r="C42" s="1" t="n">
        <v>45175</v>
      </c>
      <c r="D42" t="inlineStr">
        <is>
          <t>KALMAR LÄN</t>
        </is>
      </c>
      <c r="E42" t="inlineStr">
        <is>
          <t>VÄSTERVIK</t>
        </is>
      </c>
      <c r="G42" t="n">
        <v>1.7</v>
      </c>
      <c r="H42" t="n">
        <v>1</v>
      </c>
      <c r="I42" t="n">
        <v>1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2</v>
      </c>
      <c r="R42" s="2" t="inlineStr">
        <is>
          <t>Järpe
Fjällig taggsvamp s.str.</t>
        </is>
      </c>
      <c r="S42">
        <f>HYPERLINK("https://klasma.github.io/Logging_VASTERVIK/artfynd/A 44667-2021.xlsx")</f>
        <v/>
      </c>
      <c r="T42">
        <f>HYPERLINK("https://klasma.github.io/Logging_VASTERVIK/kartor/A 44667-2021.png")</f>
        <v/>
      </c>
      <c r="V42">
        <f>HYPERLINK("https://klasma.github.io/Logging_VASTERVIK/klagomål/A 44667-2021.docx")</f>
        <v/>
      </c>
      <c r="W42">
        <f>HYPERLINK("https://klasma.github.io/Logging_VASTERVIK/klagomålsmail/A 44667-2021.docx")</f>
        <v/>
      </c>
      <c r="X42">
        <f>HYPERLINK("https://klasma.github.io/Logging_VASTERVIK/tillsyn/A 44667-2021.docx")</f>
        <v/>
      </c>
      <c r="Y42">
        <f>HYPERLINK("https://klasma.github.io/Logging_VASTERVIK/tillsynsmail/A 44667-2021.docx")</f>
        <v/>
      </c>
    </row>
    <row r="43" ht="15" customHeight="1">
      <c r="A43" t="inlineStr">
        <is>
          <t>A 51833-2021</t>
        </is>
      </c>
      <c r="B43" s="1" t="n">
        <v>44462</v>
      </c>
      <c r="C43" s="1" t="n">
        <v>45175</v>
      </c>
      <c r="D43" t="inlineStr">
        <is>
          <t>KALMAR LÄN</t>
        </is>
      </c>
      <c r="E43" t="inlineStr">
        <is>
          <t>VÄSTERVIK</t>
        </is>
      </c>
      <c r="G43" t="n">
        <v>4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2</v>
      </c>
      <c r="R43" s="2" t="inlineStr">
        <is>
          <t>Motaggsvamp
Fläcknycklar</t>
        </is>
      </c>
      <c r="S43">
        <f>HYPERLINK("https://klasma.github.io/Logging_VASTERVIK/artfynd/A 51833-2021.xlsx")</f>
        <v/>
      </c>
      <c r="T43">
        <f>HYPERLINK("https://klasma.github.io/Logging_VASTERVIK/kartor/A 51833-2021.png")</f>
        <v/>
      </c>
      <c r="V43">
        <f>HYPERLINK("https://klasma.github.io/Logging_VASTERVIK/klagomål/A 51833-2021.docx")</f>
        <v/>
      </c>
      <c r="W43">
        <f>HYPERLINK("https://klasma.github.io/Logging_VASTERVIK/klagomålsmail/A 51833-2021.docx")</f>
        <v/>
      </c>
      <c r="X43">
        <f>HYPERLINK("https://klasma.github.io/Logging_VASTERVIK/tillsyn/A 51833-2021.docx")</f>
        <v/>
      </c>
      <c r="Y43">
        <f>HYPERLINK("https://klasma.github.io/Logging_VASTERVIK/tillsynsmail/A 51833-2021.docx")</f>
        <v/>
      </c>
    </row>
    <row r="44" ht="15" customHeight="1">
      <c r="A44" t="inlineStr">
        <is>
          <t>A 53769-2021</t>
        </is>
      </c>
      <c r="B44" s="1" t="n">
        <v>44467</v>
      </c>
      <c r="C44" s="1" t="n">
        <v>45175</v>
      </c>
      <c r="D44" t="inlineStr">
        <is>
          <t>KALMAR LÄN</t>
        </is>
      </c>
      <c r="E44" t="inlineStr">
        <is>
          <t>VÄSTERVIK</t>
        </is>
      </c>
      <c r="G44" t="n">
        <v>2.2</v>
      </c>
      <c r="H44" t="n">
        <v>1</v>
      </c>
      <c r="I44" t="n">
        <v>2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2</v>
      </c>
      <c r="R44" s="2" t="inlineStr">
        <is>
          <t>Grön sköldmossa
Stubbspretmossa</t>
        </is>
      </c>
      <c r="S44">
        <f>HYPERLINK("https://klasma.github.io/Logging_VASTERVIK/artfynd/A 53769-2021.xlsx")</f>
        <v/>
      </c>
      <c r="T44">
        <f>HYPERLINK("https://klasma.github.io/Logging_VASTERVIK/kartor/A 53769-2021.png")</f>
        <v/>
      </c>
      <c r="V44">
        <f>HYPERLINK("https://klasma.github.io/Logging_VASTERVIK/klagomål/A 53769-2021.docx")</f>
        <v/>
      </c>
      <c r="W44">
        <f>HYPERLINK("https://klasma.github.io/Logging_VASTERVIK/klagomålsmail/A 53769-2021.docx")</f>
        <v/>
      </c>
      <c r="X44">
        <f>HYPERLINK("https://klasma.github.io/Logging_VASTERVIK/tillsyn/A 53769-2021.docx")</f>
        <v/>
      </c>
      <c r="Y44">
        <f>HYPERLINK("https://klasma.github.io/Logging_VASTERVIK/tillsynsmail/A 53769-2021.docx")</f>
        <v/>
      </c>
    </row>
    <row r="45" ht="15" customHeight="1">
      <c r="A45" t="inlineStr">
        <is>
          <t>A 56616-2021</t>
        </is>
      </c>
      <c r="B45" s="1" t="n">
        <v>44480</v>
      </c>
      <c r="C45" s="1" t="n">
        <v>45175</v>
      </c>
      <c r="D45" t="inlineStr">
        <is>
          <t>KALMAR LÄN</t>
        </is>
      </c>
      <c r="E45" t="inlineStr">
        <is>
          <t>VÄSTERVIK</t>
        </is>
      </c>
      <c r="G45" t="n">
        <v>0.7</v>
      </c>
      <c r="H45" t="n">
        <v>0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Gullklöver
Vippärt</t>
        </is>
      </c>
      <c r="S45">
        <f>HYPERLINK("https://klasma.github.io/Logging_VASTERVIK/artfynd/A 56616-2021.xlsx")</f>
        <v/>
      </c>
      <c r="T45">
        <f>HYPERLINK("https://klasma.github.io/Logging_VASTERVIK/kartor/A 56616-2021.png")</f>
        <v/>
      </c>
      <c r="V45">
        <f>HYPERLINK("https://klasma.github.io/Logging_VASTERVIK/klagomål/A 56616-2021.docx")</f>
        <v/>
      </c>
      <c r="W45">
        <f>HYPERLINK("https://klasma.github.io/Logging_VASTERVIK/klagomålsmail/A 56616-2021.docx")</f>
        <v/>
      </c>
      <c r="X45">
        <f>HYPERLINK("https://klasma.github.io/Logging_VASTERVIK/tillsyn/A 56616-2021.docx")</f>
        <v/>
      </c>
      <c r="Y45">
        <f>HYPERLINK("https://klasma.github.io/Logging_VASTERVIK/tillsynsmail/A 56616-2021.docx")</f>
        <v/>
      </c>
    </row>
    <row r="46" ht="15" customHeight="1">
      <c r="A46" t="inlineStr">
        <is>
          <t>A 59940-2021</t>
        </is>
      </c>
      <c r="B46" s="1" t="n">
        <v>44494</v>
      </c>
      <c r="C46" s="1" t="n">
        <v>45175</v>
      </c>
      <c r="D46" t="inlineStr">
        <is>
          <t>KALMAR LÄN</t>
        </is>
      </c>
      <c r="E46" t="inlineStr">
        <is>
          <t>VÄSTERVIK</t>
        </is>
      </c>
      <c r="G46" t="n">
        <v>4.3</v>
      </c>
      <c r="H46" t="n">
        <v>1</v>
      </c>
      <c r="I46" t="n">
        <v>1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2</v>
      </c>
      <c r="R46" s="2" t="inlineStr">
        <is>
          <t>Knärot
Grönpyrola</t>
        </is>
      </c>
      <c r="S46">
        <f>HYPERLINK("https://klasma.github.io/Logging_VASTERVIK/artfynd/A 59940-2021.xlsx")</f>
        <v/>
      </c>
      <c r="T46">
        <f>HYPERLINK("https://klasma.github.io/Logging_VASTERVIK/kartor/A 59940-2021.png")</f>
        <v/>
      </c>
      <c r="U46">
        <f>HYPERLINK("https://klasma.github.io/Logging_VASTERVIK/knärot/A 59940-2021.png")</f>
        <v/>
      </c>
      <c r="V46">
        <f>HYPERLINK("https://klasma.github.io/Logging_VASTERVIK/klagomål/A 59940-2021.docx")</f>
        <v/>
      </c>
      <c r="W46">
        <f>HYPERLINK("https://klasma.github.io/Logging_VASTERVIK/klagomålsmail/A 59940-2021.docx")</f>
        <v/>
      </c>
      <c r="X46">
        <f>HYPERLINK("https://klasma.github.io/Logging_VASTERVIK/tillsyn/A 59940-2021.docx")</f>
        <v/>
      </c>
      <c r="Y46">
        <f>HYPERLINK("https://klasma.github.io/Logging_VASTERVIK/tillsynsmail/A 59940-2021.docx")</f>
        <v/>
      </c>
    </row>
    <row r="47" ht="15" customHeight="1">
      <c r="A47" t="inlineStr">
        <is>
          <t>A 14927-2022</t>
        </is>
      </c>
      <c r="B47" s="1" t="n">
        <v>44657</v>
      </c>
      <c r="C47" s="1" t="n">
        <v>45175</v>
      </c>
      <c r="D47" t="inlineStr">
        <is>
          <t>KALMAR LÄN</t>
        </is>
      </c>
      <c r="E47" t="inlineStr">
        <is>
          <t>VÄSTERVIK</t>
        </is>
      </c>
      <c r="F47" t="inlineStr">
        <is>
          <t>Holmen skog AB</t>
        </is>
      </c>
      <c r="G47" t="n">
        <v>1.1</v>
      </c>
      <c r="H47" t="n">
        <v>2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2</v>
      </c>
      <c r="R47" s="2" t="inlineStr">
        <is>
          <t>Ekoxe
Revlummer</t>
        </is>
      </c>
      <c r="S47">
        <f>HYPERLINK("https://klasma.github.io/Logging_VASTERVIK/artfynd/A 14927-2022.xlsx")</f>
        <v/>
      </c>
      <c r="T47">
        <f>HYPERLINK("https://klasma.github.io/Logging_VASTERVIK/kartor/A 14927-2022.png")</f>
        <v/>
      </c>
      <c r="V47">
        <f>HYPERLINK("https://klasma.github.io/Logging_VASTERVIK/klagomål/A 14927-2022.docx")</f>
        <v/>
      </c>
      <c r="W47">
        <f>HYPERLINK("https://klasma.github.io/Logging_VASTERVIK/klagomålsmail/A 14927-2022.docx")</f>
        <v/>
      </c>
      <c r="X47">
        <f>HYPERLINK("https://klasma.github.io/Logging_VASTERVIK/tillsyn/A 14927-2022.docx")</f>
        <v/>
      </c>
      <c r="Y47">
        <f>HYPERLINK("https://klasma.github.io/Logging_VASTERVIK/tillsynsmail/A 14927-2022.docx")</f>
        <v/>
      </c>
    </row>
    <row r="48" ht="15" customHeight="1">
      <c r="A48" t="inlineStr">
        <is>
          <t>A 25145-2022</t>
        </is>
      </c>
      <c r="B48" s="1" t="n">
        <v>44729</v>
      </c>
      <c r="C48" s="1" t="n">
        <v>45175</v>
      </c>
      <c r="D48" t="inlineStr">
        <is>
          <t>KALMAR LÄN</t>
        </is>
      </c>
      <c r="E48" t="inlineStr">
        <is>
          <t>VÄSTERVIK</t>
        </is>
      </c>
      <c r="G48" t="n">
        <v>1.3</v>
      </c>
      <c r="H48" t="n">
        <v>1</v>
      </c>
      <c r="I48" t="n">
        <v>0</v>
      </c>
      <c r="J48" t="n">
        <v>1</v>
      </c>
      <c r="K48" t="n">
        <v>1</v>
      </c>
      <c r="L48" t="n">
        <v>0</v>
      </c>
      <c r="M48" t="n">
        <v>0</v>
      </c>
      <c r="N48" t="n">
        <v>0</v>
      </c>
      <c r="O48" t="n">
        <v>2</v>
      </c>
      <c r="P48" t="n">
        <v>1</v>
      </c>
      <c r="Q48" t="n">
        <v>2</v>
      </c>
      <c r="R48" s="2" t="inlineStr">
        <is>
          <t>Knärot
Tallticka</t>
        </is>
      </c>
      <c r="S48">
        <f>HYPERLINK("https://klasma.github.io/Logging_VASTERVIK/artfynd/A 25145-2022.xlsx")</f>
        <v/>
      </c>
      <c r="T48">
        <f>HYPERLINK("https://klasma.github.io/Logging_VASTERVIK/kartor/A 25145-2022.png")</f>
        <v/>
      </c>
      <c r="U48">
        <f>HYPERLINK("https://klasma.github.io/Logging_VASTERVIK/knärot/A 25145-2022.png")</f>
        <v/>
      </c>
      <c r="V48">
        <f>HYPERLINK("https://klasma.github.io/Logging_VASTERVIK/klagomål/A 25145-2022.docx")</f>
        <v/>
      </c>
      <c r="W48">
        <f>HYPERLINK("https://klasma.github.io/Logging_VASTERVIK/klagomålsmail/A 25145-2022.docx")</f>
        <v/>
      </c>
      <c r="X48">
        <f>HYPERLINK("https://klasma.github.io/Logging_VASTERVIK/tillsyn/A 25145-2022.docx")</f>
        <v/>
      </c>
      <c r="Y48">
        <f>HYPERLINK("https://klasma.github.io/Logging_VASTERVIK/tillsynsmail/A 25145-2022.docx")</f>
        <v/>
      </c>
    </row>
    <row r="49" ht="15" customHeight="1">
      <c r="A49" t="inlineStr">
        <is>
          <t>A 38373-2022</t>
        </is>
      </c>
      <c r="B49" s="1" t="n">
        <v>44812</v>
      </c>
      <c r="C49" s="1" t="n">
        <v>45175</v>
      </c>
      <c r="D49" t="inlineStr">
        <is>
          <t>KALMAR LÄN</t>
        </is>
      </c>
      <c r="E49" t="inlineStr">
        <is>
          <t>VÄSTERVIK</t>
        </is>
      </c>
      <c r="G49" t="n">
        <v>3.1</v>
      </c>
      <c r="H49" t="n">
        <v>1</v>
      </c>
      <c r="I49" t="n">
        <v>1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2</v>
      </c>
      <c r="R49" s="2" t="inlineStr">
        <is>
          <t>Knärot
Blåmossa</t>
        </is>
      </c>
      <c r="S49">
        <f>HYPERLINK("https://klasma.github.io/Logging_VASTERVIK/artfynd/A 38373-2022.xlsx")</f>
        <v/>
      </c>
      <c r="T49">
        <f>HYPERLINK("https://klasma.github.io/Logging_VASTERVIK/kartor/A 38373-2022.png")</f>
        <v/>
      </c>
      <c r="U49">
        <f>HYPERLINK("https://klasma.github.io/Logging_VASTERVIK/knärot/A 38373-2022.png")</f>
        <v/>
      </c>
      <c r="V49">
        <f>HYPERLINK("https://klasma.github.io/Logging_VASTERVIK/klagomål/A 38373-2022.docx")</f>
        <v/>
      </c>
      <c r="W49">
        <f>HYPERLINK("https://klasma.github.io/Logging_VASTERVIK/klagomålsmail/A 38373-2022.docx")</f>
        <v/>
      </c>
      <c r="X49">
        <f>HYPERLINK("https://klasma.github.io/Logging_VASTERVIK/tillsyn/A 38373-2022.docx")</f>
        <v/>
      </c>
      <c r="Y49">
        <f>HYPERLINK("https://klasma.github.io/Logging_VASTERVIK/tillsynsmail/A 38373-2022.docx")</f>
        <v/>
      </c>
    </row>
    <row r="50" ht="15" customHeight="1">
      <c r="A50" t="inlineStr">
        <is>
          <t>A 46552-2022</t>
        </is>
      </c>
      <c r="B50" s="1" t="n">
        <v>44848</v>
      </c>
      <c r="C50" s="1" t="n">
        <v>45175</v>
      </c>
      <c r="D50" t="inlineStr">
        <is>
          <t>KALMAR LÄN</t>
        </is>
      </c>
      <c r="E50" t="inlineStr">
        <is>
          <t>VÄSTERVIK</t>
        </is>
      </c>
      <c r="F50" t="inlineStr">
        <is>
          <t>Sveaskog</t>
        </is>
      </c>
      <c r="G50" t="n">
        <v>1.7</v>
      </c>
      <c r="H50" t="n">
        <v>0</v>
      </c>
      <c r="I50" t="n">
        <v>1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2</v>
      </c>
      <c r="R50" s="2" t="inlineStr">
        <is>
          <t>Motaggsvamp
Sårläka</t>
        </is>
      </c>
      <c r="S50">
        <f>HYPERLINK("https://klasma.github.io/Logging_VASTERVIK/artfynd/A 46552-2022.xlsx")</f>
        <v/>
      </c>
      <c r="T50">
        <f>HYPERLINK("https://klasma.github.io/Logging_VASTERVIK/kartor/A 46552-2022.png")</f>
        <v/>
      </c>
      <c r="V50">
        <f>HYPERLINK("https://klasma.github.io/Logging_VASTERVIK/klagomål/A 46552-2022.docx")</f>
        <v/>
      </c>
      <c r="W50">
        <f>HYPERLINK("https://klasma.github.io/Logging_VASTERVIK/klagomålsmail/A 46552-2022.docx")</f>
        <v/>
      </c>
      <c r="X50">
        <f>HYPERLINK("https://klasma.github.io/Logging_VASTERVIK/tillsyn/A 46552-2022.docx")</f>
        <v/>
      </c>
      <c r="Y50">
        <f>HYPERLINK("https://klasma.github.io/Logging_VASTERVIK/tillsynsmail/A 46552-2022.docx")</f>
        <v/>
      </c>
    </row>
    <row r="51" ht="15" customHeight="1">
      <c r="A51" t="inlineStr">
        <is>
          <t>A 46787-2022</t>
        </is>
      </c>
      <c r="B51" s="1" t="n">
        <v>44851</v>
      </c>
      <c r="C51" s="1" t="n">
        <v>45175</v>
      </c>
      <c r="D51" t="inlineStr">
        <is>
          <t>KALMAR LÄN</t>
        </is>
      </c>
      <c r="E51" t="inlineStr">
        <is>
          <t>VÄSTERVIK</t>
        </is>
      </c>
      <c r="G51" t="n">
        <v>4.4</v>
      </c>
      <c r="H51" t="n">
        <v>0</v>
      </c>
      <c r="I51" t="n">
        <v>0</v>
      </c>
      <c r="J51" t="n">
        <v>2</v>
      </c>
      <c r="K51" t="n">
        <v>0</v>
      </c>
      <c r="L51" t="n">
        <v>0</v>
      </c>
      <c r="M51" t="n">
        <v>0</v>
      </c>
      <c r="N51" t="n">
        <v>0</v>
      </c>
      <c r="O51" t="n">
        <v>2</v>
      </c>
      <c r="P51" t="n">
        <v>0</v>
      </c>
      <c r="Q51" t="n">
        <v>2</v>
      </c>
      <c r="R51" s="2" t="inlineStr">
        <is>
          <t>Motaggsvamp
Tallticka</t>
        </is>
      </c>
      <c r="S51">
        <f>HYPERLINK("https://klasma.github.io/Logging_VASTERVIK/artfynd/A 46787-2022.xlsx")</f>
        <v/>
      </c>
      <c r="T51">
        <f>HYPERLINK("https://klasma.github.io/Logging_VASTERVIK/kartor/A 46787-2022.png")</f>
        <v/>
      </c>
      <c r="V51">
        <f>HYPERLINK("https://klasma.github.io/Logging_VASTERVIK/klagomål/A 46787-2022.docx")</f>
        <v/>
      </c>
      <c r="W51">
        <f>HYPERLINK("https://klasma.github.io/Logging_VASTERVIK/klagomålsmail/A 46787-2022.docx")</f>
        <v/>
      </c>
      <c r="X51">
        <f>HYPERLINK("https://klasma.github.io/Logging_VASTERVIK/tillsyn/A 46787-2022.docx")</f>
        <v/>
      </c>
      <c r="Y51">
        <f>HYPERLINK("https://klasma.github.io/Logging_VASTERVIK/tillsynsmail/A 46787-2022.docx")</f>
        <v/>
      </c>
    </row>
    <row r="52" ht="15" customHeight="1">
      <c r="A52" t="inlineStr">
        <is>
          <t>A 50989-2022</t>
        </is>
      </c>
      <c r="B52" s="1" t="n">
        <v>44867</v>
      </c>
      <c r="C52" s="1" t="n">
        <v>45175</v>
      </c>
      <c r="D52" t="inlineStr">
        <is>
          <t>KALMAR LÄN</t>
        </is>
      </c>
      <c r="E52" t="inlineStr">
        <is>
          <t>VÄSTERVIK</t>
        </is>
      </c>
      <c r="G52" t="n">
        <v>2</v>
      </c>
      <c r="H52" t="n">
        <v>0</v>
      </c>
      <c r="I52" t="n">
        <v>2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2</v>
      </c>
      <c r="R52" s="2" t="inlineStr">
        <is>
          <t>Blomkålssvamp
Vätteros</t>
        </is>
      </c>
      <c r="S52">
        <f>HYPERLINK("https://klasma.github.io/Logging_VASTERVIK/artfynd/A 50989-2022.xlsx")</f>
        <v/>
      </c>
      <c r="T52">
        <f>HYPERLINK("https://klasma.github.io/Logging_VASTERVIK/kartor/A 50989-2022.png")</f>
        <v/>
      </c>
      <c r="V52">
        <f>HYPERLINK("https://klasma.github.io/Logging_VASTERVIK/klagomål/A 50989-2022.docx")</f>
        <v/>
      </c>
      <c r="W52">
        <f>HYPERLINK("https://klasma.github.io/Logging_VASTERVIK/klagomålsmail/A 50989-2022.docx")</f>
        <v/>
      </c>
      <c r="X52">
        <f>HYPERLINK("https://klasma.github.io/Logging_VASTERVIK/tillsyn/A 50989-2022.docx")</f>
        <v/>
      </c>
      <c r="Y52">
        <f>HYPERLINK("https://klasma.github.io/Logging_VASTERVIK/tillsynsmail/A 50989-2022.docx")</f>
        <v/>
      </c>
    </row>
    <row r="53" ht="15" customHeight="1">
      <c r="A53" t="inlineStr">
        <is>
          <t>A 62003-2022</t>
        </is>
      </c>
      <c r="B53" s="1" t="n">
        <v>44918</v>
      </c>
      <c r="C53" s="1" t="n">
        <v>45175</v>
      </c>
      <c r="D53" t="inlineStr">
        <is>
          <t>KALMAR LÄN</t>
        </is>
      </c>
      <c r="E53" t="inlineStr">
        <is>
          <t>VÄSTERVIK</t>
        </is>
      </c>
      <c r="G53" t="n">
        <v>6.2</v>
      </c>
      <c r="H53" t="n">
        <v>1</v>
      </c>
      <c r="I53" t="n">
        <v>0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2</v>
      </c>
      <c r="R53" s="2" t="inlineStr">
        <is>
          <t>Knärot
Linmåra/småsnärjmåra</t>
        </is>
      </c>
      <c r="S53">
        <f>HYPERLINK("https://klasma.github.io/Logging_VASTERVIK/artfynd/A 62003-2022.xlsx")</f>
        <v/>
      </c>
      <c r="T53">
        <f>HYPERLINK("https://klasma.github.io/Logging_VASTERVIK/kartor/A 62003-2022.png")</f>
        <v/>
      </c>
      <c r="U53">
        <f>HYPERLINK("https://klasma.github.io/Logging_VASTERVIK/knärot/A 62003-2022.png")</f>
        <v/>
      </c>
      <c r="V53">
        <f>HYPERLINK("https://klasma.github.io/Logging_VASTERVIK/klagomål/A 62003-2022.docx")</f>
        <v/>
      </c>
      <c r="W53">
        <f>HYPERLINK("https://klasma.github.io/Logging_VASTERVIK/klagomålsmail/A 62003-2022.docx")</f>
        <v/>
      </c>
      <c r="X53">
        <f>HYPERLINK("https://klasma.github.io/Logging_VASTERVIK/tillsyn/A 62003-2022.docx")</f>
        <v/>
      </c>
      <c r="Y53">
        <f>HYPERLINK("https://klasma.github.io/Logging_VASTERVIK/tillsynsmail/A 62003-2022.docx")</f>
        <v/>
      </c>
    </row>
    <row r="54" ht="15" customHeight="1">
      <c r="A54" t="inlineStr">
        <is>
          <t>A 2097-2023</t>
        </is>
      </c>
      <c r="B54" s="1" t="n">
        <v>44939</v>
      </c>
      <c r="C54" s="1" t="n">
        <v>45175</v>
      </c>
      <c r="D54" t="inlineStr">
        <is>
          <t>KALMAR LÄN</t>
        </is>
      </c>
      <c r="E54" t="inlineStr">
        <is>
          <t>VÄSTERVIK</t>
        </is>
      </c>
      <c r="G54" t="n">
        <v>6.9</v>
      </c>
      <c r="H54" t="n">
        <v>1</v>
      </c>
      <c r="I54" t="n">
        <v>1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2</v>
      </c>
      <c r="R54" s="2" t="inlineStr">
        <is>
          <t>Knärot
Grovticka</t>
        </is>
      </c>
      <c r="S54">
        <f>HYPERLINK("https://klasma.github.io/Logging_VASTERVIK/artfynd/A 2097-2023.xlsx")</f>
        <v/>
      </c>
      <c r="T54">
        <f>HYPERLINK("https://klasma.github.io/Logging_VASTERVIK/kartor/A 2097-2023.png")</f>
        <v/>
      </c>
      <c r="U54">
        <f>HYPERLINK("https://klasma.github.io/Logging_VASTERVIK/knärot/A 2097-2023.png")</f>
        <v/>
      </c>
      <c r="V54">
        <f>HYPERLINK("https://klasma.github.io/Logging_VASTERVIK/klagomål/A 2097-2023.docx")</f>
        <v/>
      </c>
      <c r="W54">
        <f>HYPERLINK("https://klasma.github.io/Logging_VASTERVIK/klagomålsmail/A 2097-2023.docx")</f>
        <v/>
      </c>
      <c r="X54">
        <f>HYPERLINK("https://klasma.github.io/Logging_VASTERVIK/tillsyn/A 2097-2023.docx")</f>
        <v/>
      </c>
      <c r="Y54">
        <f>HYPERLINK("https://klasma.github.io/Logging_VASTERVIK/tillsynsmail/A 2097-2023.docx")</f>
        <v/>
      </c>
    </row>
    <row r="55" ht="15" customHeight="1">
      <c r="A55" t="inlineStr">
        <is>
          <t>A 2515-2023</t>
        </is>
      </c>
      <c r="B55" s="1" t="n">
        <v>44943</v>
      </c>
      <c r="C55" s="1" t="n">
        <v>45175</v>
      </c>
      <c r="D55" t="inlineStr">
        <is>
          <t>KALMAR LÄN</t>
        </is>
      </c>
      <c r="E55" t="inlineStr">
        <is>
          <t>VÄSTERVIK</t>
        </is>
      </c>
      <c r="G55" t="n">
        <v>1.3</v>
      </c>
      <c r="H55" t="n">
        <v>1</v>
      </c>
      <c r="I55" t="n">
        <v>1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2</v>
      </c>
      <c r="R55" s="2" t="inlineStr">
        <is>
          <t>Knärot
Grönpyrola</t>
        </is>
      </c>
      <c r="S55">
        <f>HYPERLINK("https://klasma.github.io/Logging_VASTERVIK/artfynd/A 2515-2023.xlsx")</f>
        <v/>
      </c>
      <c r="T55">
        <f>HYPERLINK("https://klasma.github.io/Logging_VASTERVIK/kartor/A 2515-2023.png")</f>
        <v/>
      </c>
      <c r="U55">
        <f>HYPERLINK("https://klasma.github.io/Logging_VASTERVIK/knärot/A 2515-2023.png")</f>
        <v/>
      </c>
      <c r="V55">
        <f>HYPERLINK("https://klasma.github.io/Logging_VASTERVIK/klagomål/A 2515-2023.docx")</f>
        <v/>
      </c>
      <c r="W55">
        <f>HYPERLINK("https://klasma.github.io/Logging_VASTERVIK/klagomålsmail/A 2515-2023.docx")</f>
        <v/>
      </c>
      <c r="X55">
        <f>HYPERLINK("https://klasma.github.io/Logging_VASTERVIK/tillsyn/A 2515-2023.docx")</f>
        <v/>
      </c>
      <c r="Y55">
        <f>HYPERLINK("https://klasma.github.io/Logging_VASTERVIK/tillsynsmail/A 2515-2023.docx")</f>
        <v/>
      </c>
    </row>
    <row r="56" ht="15" customHeight="1">
      <c r="A56" t="inlineStr">
        <is>
          <t>A 3173-2023</t>
        </is>
      </c>
      <c r="B56" s="1" t="n">
        <v>44946</v>
      </c>
      <c r="C56" s="1" t="n">
        <v>45175</v>
      </c>
      <c r="D56" t="inlineStr">
        <is>
          <t>KALMAR LÄN</t>
        </is>
      </c>
      <c r="E56" t="inlineStr">
        <is>
          <t>VÄSTERVIK</t>
        </is>
      </c>
      <c r="G56" t="n">
        <v>4</v>
      </c>
      <c r="H56" t="n">
        <v>1</v>
      </c>
      <c r="I56" t="n">
        <v>0</v>
      </c>
      <c r="J56" t="n">
        <v>1</v>
      </c>
      <c r="K56" t="n">
        <v>1</v>
      </c>
      <c r="L56" t="n">
        <v>0</v>
      </c>
      <c r="M56" t="n">
        <v>0</v>
      </c>
      <c r="N56" t="n">
        <v>0</v>
      </c>
      <c r="O56" t="n">
        <v>2</v>
      </c>
      <c r="P56" t="n">
        <v>1</v>
      </c>
      <c r="Q56" t="n">
        <v>2</v>
      </c>
      <c r="R56" s="2" t="inlineStr">
        <is>
          <t>Knärot
Tallticka</t>
        </is>
      </c>
      <c r="S56">
        <f>HYPERLINK("https://klasma.github.io/Logging_VASTERVIK/artfynd/A 3173-2023.xlsx")</f>
        <v/>
      </c>
      <c r="T56">
        <f>HYPERLINK("https://klasma.github.io/Logging_VASTERVIK/kartor/A 3173-2023.png")</f>
        <v/>
      </c>
      <c r="U56">
        <f>HYPERLINK("https://klasma.github.io/Logging_VASTERVIK/knärot/A 3173-2023.png")</f>
        <v/>
      </c>
      <c r="V56">
        <f>HYPERLINK("https://klasma.github.io/Logging_VASTERVIK/klagomål/A 3173-2023.docx")</f>
        <v/>
      </c>
      <c r="W56">
        <f>HYPERLINK("https://klasma.github.io/Logging_VASTERVIK/klagomålsmail/A 3173-2023.docx")</f>
        <v/>
      </c>
      <c r="X56">
        <f>HYPERLINK("https://klasma.github.io/Logging_VASTERVIK/tillsyn/A 3173-2023.docx")</f>
        <v/>
      </c>
      <c r="Y56">
        <f>HYPERLINK("https://klasma.github.io/Logging_VASTERVIK/tillsynsmail/A 3173-2023.docx")</f>
        <v/>
      </c>
    </row>
    <row r="57" ht="15" customHeight="1">
      <c r="A57" t="inlineStr">
        <is>
          <t>A 9040-2023</t>
        </is>
      </c>
      <c r="B57" s="1" t="n">
        <v>44979</v>
      </c>
      <c r="C57" s="1" t="n">
        <v>45175</v>
      </c>
      <c r="D57" t="inlineStr">
        <is>
          <t>KALMAR LÄN</t>
        </is>
      </c>
      <c r="E57" t="inlineStr">
        <is>
          <t>VÄSTERVIK</t>
        </is>
      </c>
      <c r="G57" t="n">
        <v>5.1</v>
      </c>
      <c r="H57" t="n">
        <v>1</v>
      </c>
      <c r="I57" t="n">
        <v>1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2</v>
      </c>
      <c r="R57" s="2" t="inlineStr">
        <is>
          <t>Knärot
Grönpyrola</t>
        </is>
      </c>
      <c r="S57">
        <f>HYPERLINK("https://klasma.github.io/Logging_VASTERVIK/artfynd/A 9040-2023.xlsx")</f>
        <v/>
      </c>
      <c r="T57">
        <f>HYPERLINK("https://klasma.github.io/Logging_VASTERVIK/kartor/A 9040-2023.png")</f>
        <v/>
      </c>
      <c r="U57">
        <f>HYPERLINK("https://klasma.github.io/Logging_VASTERVIK/knärot/A 9040-2023.png")</f>
        <v/>
      </c>
      <c r="V57">
        <f>HYPERLINK("https://klasma.github.io/Logging_VASTERVIK/klagomål/A 9040-2023.docx")</f>
        <v/>
      </c>
      <c r="W57">
        <f>HYPERLINK("https://klasma.github.io/Logging_VASTERVIK/klagomålsmail/A 9040-2023.docx")</f>
        <v/>
      </c>
      <c r="X57">
        <f>HYPERLINK("https://klasma.github.io/Logging_VASTERVIK/tillsyn/A 9040-2023.docx")</f>
        <v/>
      </c>
      <c r="Y57">
        <f>HYPERLINK("https://klasma.github.io/Logging_VASTERVIK/tillsynsmail/A 9040-2023.docx")</f>
        <v/>
      </c>
    </row>
    <row r="58" ht="15" customHeight="1">
      <c r="A58" t="inlineStr">
        <is>
          <t>A 10806-2023</t>
        </is>
      </c>
      <c r="B58" s="1" t="n">
        <v>44989</v>
      </c>
      <c r="C58" s="1" t="n">
        <v>45175</v>
      </c>
      <c r="D58" t="inlineStr">
        <is>
          <t>KALMAR LÄN</t>
        </is>
      </c>
      <c r="E58" t="inlineStr">
        <is>
          <t>VÄSTERVIK</t>
        </is>
      </c>
      <c r="G58" t="n">
        <v>3</v>
      </c>
      <c r="H58" t="n">
        <v>2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2</v>
      </c>
      <c r="R58" s="2" t="inlineStr">
        <is>
          <t>Knärot
Revlummer</t>
        </is>
      </c>
      <c r="S58">
        <f>HYPERLINK("https://klasma.github.io/Logging_VASTERVIK/artfynd/A 10806-2023.xlsx")</f>
        <v/>
      </c>
      <c r="T58">
        <f>HYPERLINK("https://klasma.github.io/Logging_VASTERVIK/kartor/A 10806-2023.png")</f>
        <v/>
      </c>
      <c r="U58">
        <f>HYPERLINK("https://klasma.github.io/Logging_VASTERVIK/knärot/A 10806-2023.png")</f>
        <v/>
      </c>
      <c r="V58">
        <f>HYPERLINK("https://klasma.github.io/Logging_VASTERVIK/klagomål/A 10806-2023.docx")</f>
        <v/>
      </c>
      <c r="W58">
        <f>HYPERLINK("https://klasma.github.io/Logging_VASTERVIK/klagomålsmail/A 10806-2023.docx")</f>
        <v/>
      </c>
      <c r="X58">
        <f>HYPERLINK("https://klasma.github.io/Logging_VASTERVIK/tillsyn/A 10806-2023.docx")</f>
        <v/>
      </c>
      <c r="Y58">
        <f>HYPERLINK("https://klasma.github.io/Logging_VASTERVIK/tillsynsmail/A 10806-2023.docx")</f>
        <v/>
      </c>
    </row>
    <row r="59" ht="15" customHeight="1">
      <c r="A59" t="inlineStr">
        <is>
          <t>A 14301-2023</t>
        </is>
      </c>
      <c r="B59" s="1" t="n">
        <v>45011</v>
      </c>
      <c r="C59" s="1" t="n">
        <v>45175</v>
      </c>
      <c r="D59" t="inlineStr">
        <is>
          <t>KALMAR LÄN</t>
        </is>
      </c>
      <c r="E59" t="inlineStr">
        <is>
          <t>VÄSTERVIK</t>
        </is>
      </c>
      <c r="G59" t="n">
        <v>4.4</v>
      </c>
      <c r="H59" t="n">
        <v>1</v>
      </c>
      <c r="I59" t="n">
        <v>1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2</v>
      </c>
      <c r="R59" s="2" t="inlineStr">
        <is>
          <t>Knärot
Grönpyrola</t>
        </is>
      </c>
      <c r="S59">
        <f>HYPERLINK("https://klasma.github.io/Logging_VASTERVIK/artfynd/A 14301-2023.xlsx")</f>
        <v/>
      </c>
      <c r="T59">
        <f>HYPERLINK("https://klasma.github.io/Logging_VASTERVIK/kartor/A 14301-2023.png")</f>
        <v/>
      </c>
      <c r="U59">
        <f>HYPERLINK("https://klasma.github.io/Logging_VASTERVIK/knärot/A 14301-2023.png")</f>
        <v/>
      </c>
      <c r="V59">
        <f>HYPERLINK("https://klasma.github.io/Logging_VASTERVIK/klagomål/A 14301-2023.docx")</f>
        <v/>
      </c>
      <c r="W59">
        <f>HYPERLINK("https://klasma.github.io/Logging_VASTERVIK/klagomålsmail/A 14301-2023.docx")</f>
        <v/>
      </c>
      <c r="X59">
        <f>HYPERLINK("https://klasma.github.io/Logging_VASTERVIK/tillsyn/A 14301-2023.docx")</f>
        <v/>
      </c>
      <c r="Y59">
        <f>HYPERLINK("https://klasma.github.io/Logging_VASTERVIK/tillsynsmail/A 14301-2023.docx")</f>
        <v/>
      </c>
    </row>
    <row r="60" ht="15" customHeight="1">
      <c r="A60" t="inlineStr">
        <is>
          <t>A 32649-2023</t>
        </is>
      </c>
      <c r="B60" s="1" t="n">
        <v>45121</v>
      </c>
      <c r="C60" s="1" t="n">
        <v>45175</v>
      </c>
      <c r="D60" t="inlineStr">
        <is>
          <t>KALMAR LÄN</t>
        </is>
      </c>
      <c r="E60" t="inlineStr">
        <is>
          <t>VÄSTERVIK</t>
        </is>
      </c>
      <c r="G60" t="n">
        <v>1.7</v>
      </c>
      <c r="H60" t="n">
        <v>1</v>
      </c>
      <c r="I60" t="n">
        <v>1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2</v>
      </c>
      <c r="R60" s="2" t="inlineStr">
        <is>
          <t>Knärot
Blåmossa</t>
        </is>
      </c>
      <c r="S60">
        <f>HYPERLINK("https://klasma.github.io/Logging_VASTERVIK/artfynd/A 32649-2023.xlsx")</f>
        <v/>
      </c>
      <c r="T60">
        <f>HYPERLINK("https://klasma.github.io/Logging_VASTERVIK/kartor/A 32649-2023.png")</f>
        <v/>
      </c>
      <c r="U60">
        <f>HYPERLINK("https://klasma.github.io/Logging_VASTERVIK/knärot/A 32649-2023.png")</f>
        <v/>
      </c>
      <c r="V60">
        <f>HYPERLINK("https://klasma.github.io/Logging_VASTERVIK/klagomål/A 32649-2023.docx")</f>
        <v/>
      </c>
      <c r="W60">
        <f>HYPERLINK("https://klasma.github.io/Logging_VASTERVIK/klagomålsmail/A 32649-2023.docx")</f>
        <v/>
      </c>
      <c r="X60">
        <f>HYPERLINK("https://klasma.github.io/Logging_VASTERVIK/tillsyn/A 32649-2023.docx")</f>
        <v/>
      </c>
      <c r="Y60">
        <f>HYPERLINK("https://klasma.github.io/Logging_VASTERVIK/tillsynsmail/A 32649-2023.docx")</f>
        <v/>
      </c>
    </row>
    <row r="61" ht="15" customHeight="1">
      <c r="A61" t="inlineStr">
        <is>
          <t>A 51204-2018</t>
        </is>
      </c>
      <c r="B61" s="1" t="n">
        <v>43377</v>
      </c>
      <c r="C61" s="1" t="n">
        <v>45175</v>
      </c>
      <c r="D61" t="inlineStr">
        <is>
          <t>KALMAR LÄN</t>
        </is>
      </c>
      <c r="E61" t="inlineStr">
        <is>
          <t>VÄSTERVIK</t>
        </is>
      </c>
      <c r="G61" t="n">
        <v>2.2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Scharlakansskål</t>
        </is>
      </c>
      <c r="S61">
        <f>HYPERLINK("https://klasma.github.io/Logging_VASTERVIK/artfynd/A 51204-2018.xlsx")</f>
        <v/>
      </c>
      <c r="T61">
        <f>HYPERLINK("https://klasma.github.io/Logging_VASTERVIK/kartor/A 51204-2018.png")</f>
        <v/>
      </c>
      <c r="V61">
        <f>HYPERLINK("https://klasma.github.io/Logging_VASTERVIK/klagomål/A 51204-2018.docx")</f>
        <v/>
      </c>
      <c r="W61">
        <f>HYPERLINK("https://klasma.github.io/Logging_VASTERVIK/klagomålsmail/A 51204-2018.docx")</f>
        <v/>
      </c>
      <c r="X61">
        <f>HYPERLINK("https://klasma.github.io/Logging_VASTERVIK/tillsyn/A 51204-2018.docx")</f>
        <v/>
      </c>
      <c r="Y61">
        <f>HYPERLINK("https://klasma.github.io/Logging_VASTERVIK/tillsynsmail/A 51204-2018.docx")</f>
        <v/>
      </c>
    </row>
    <row r="62" ht="15" customHeight="1">
      <c r="A62" t="inlineStr">
        <is>
          <t>A 4926-2019</t>
        </is>
      </c>
      <c r="B62" s="1" t="n">
        <v>43479</v>
      </c>
      <c r="C62" s="1" t="n">
        <v>45175</v>
      </c>
      <c r="D62" t="inlineStr">
        <is>
          <t>KALMAR LÄN</t>
        </is>
      </c>
      <c r="E62" t="inlineStr">
        <is>
          <t>VÄSTERVIK</t>
        </is>
      </c>
      <c r="G62" t="n">
        <v>2.2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Hornuggla</t>
        </is>
      </c>
      <c r="S62">
        <f>HYPERLINK("https://klasma.github.io/Logging_VASTERVIK/artfynd/A 4926-2019.xlsx")</f>
        <v/>
      </c>
      <c r="T62">
        <f>HYPERLINK("https://klasma.github.io/Logging_VASTERVIK/kartor/A 4926-2019.png")</f>
        <v/>
      </c>
      <c r="V62">
        <f>HYPERLINK("https://klasma.github.io/Logging_VASTERVIK/klagomål/A 4926-2019.docx")</f>
        <v/>
      </c>
      <c r="W62">
        <f>HYPERLINK("https://klasma.github.io/Logging_VASTERVIK/klagomålsmail/A 4926-2019.docx")</f>
        <v/>
      </c>
      <c r="X62">
        <f>HYPERLINK("https://klasma.github.io/Logging_VASTERVIK/tillsyn/A 4926-2019.docx")</f>
        <v/>
      </c>
      <c r="Y62">
        <f>HYPERLINK("https://klasma.github.io/Logging_VASTERVIK/tillsynsmail/A 4926-2019.docx")</f>
        <v/>
      </c>
    </row>
    <row r="63" ht="15" customHeight="1">
      <c r="A63" t="inlineStr">
        <is>
          <t>A 10741-2019</t>
        </is>
      </c>
      <c r="B63" s="1" t="n">
        <v>43514</v>
      </c>
      <c r="C63" s="1" t="n">
        <v>45175</v>
      </c>
      <c r="D63" t="inlineStr">
        <is>
          <t>KALMAR LÄN</t>
        </is>
      </c>
      <c r="E63" t="inlineStr">
        <is>
          <t>VÄSTERVIK</t>
        </is>
      </c>
      <c r="F63" t="inlineStr">
        <is>
          <t>Holmen skog AB</t>
        </is>
      </c>
      <c r="G63" t="n">
        <v>3.3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Tallticka</t>
        </is>
      </c>
      <c r="S63">
        <f>HYPERLINK("https://klasma.github.io/Logging_VASTERVIK/artfynd/A 10741-2019.xlsx")</f>
        <v/>
      </c>
      <c r="T63">
        <f>HYPERLINK("https://klasma.github.io/Logging_VASTERVIK/kartor/A 10741-2019.png")</f>
        <v/>
      </c>
      <c r="U63">
        <f>HYPERLINK("https://klasma.github.io/Logging_VASTERVIK/knärot/A 10741-2019.png")</f>
        <v/>
      </c>
      <c r="V63">
        <f>HYPERLINK("https://klasma.github.io/Logging_VASTERVIK/klagomål/A 10741-2019.docx")</f>
        <v/>
      </c>
      <c r="W63">
        <f>HYPERLINK("https://klasma.github.io/Logging_VASTERVIK/klagomålsmail/A 10741-2019.docx")</f>
        <v/>
      </c>
      <c r="X63">
        <f>HYPERLINK("https://klasma.github.io/Logging_VASTERVIK/tillsyn/A 10741-2019.docx")</f>
        <v/>
      </c>
      <c r="Y63">
        <f>HYPERLINK("https://klasma.github.io/Logging_VASTERVIK/tillsynsmail/A 10741-2019.docx")</f>
        <v/>
      </c>
    </row>
    <row r="64" ht="15" customHeight="1">
      <c r="A64" t="inlineStr">
        <is>
          <t>A 15043-2019</t>
        </is>
      </c>
      <c r="B64" s="1" t="n">
        <v>43538</v>
      </c>
      <c r="C64" s="1" t="n">
        <v>45175</v>
      </c>
      <c r="D64" t="inlineStr">
        <is>
          <t>KALMAR LÄN</t>
        </is>
      </c>
      <c r="E64" t="inlineStr">
        <is>
          <t>VÄSTERVIK</t>
        </is>
      </c>
      <c r="G64" t="n">
        <v>10.2</v>
      </c>
      <c r="H64" t="n">
        <v>0</v>
      </c>
      <c r="I64" t="n">
        <v>0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Slåttergubbe</t>
        </is>
      </c>
      <c r="S64">
        <f>HYPERLINK("https://klasma.github.io/Logging_VASTERVIK/artfynd/A 15043-2019.xlsx")</f>
        <v/>
      </c>
      <c r="T64">
        <f>HYPERLINK("https://klasma.github.io/Logging_VASTERVIK/kartor/A 15043-2019.png")</f>
        <v/>
      </c>
      <c r="V64">
        <f>HYPERLINK("https://klasma.github.io/Logging_VASTERVIK/klagomål/A 15043-2019.docx")</f>
        <v/>
      </c>
      <c r="W64">
        <f>HYPERLINK("https://klasma.github.io/Logging_VASTERVIK/klagomålsmail/A 15043-2019.docx")</f>
        <v/>
      </c>
      <c r="X64">
        <f>HYPERLINK("https://klasma.github.io/Logging_VASTERVIK/tillsyn/A 15043-2019.docx")</f>
        <v/>
      </c>
      <c r="Y64">
        <f>HYPERLINK("https://klasma.github.io/Logging_VASTERVIK/tillsynsmail/A 15043-2019.docx")</f>
        <v/>
      </c>
    </row>
    <row r="65" ht="15" customHeight="1">
      <c r="A65" t="inlineStr">
        <is>
          <t>A 27200-2019</t>
        </is>
      </c>
      <c r="B65" s="1" t="n">
        <v>43614</v>
      </c>
      <c r="C65" s="1" t="n">
        <v>45175</v>
      </c>
      <c r="D65" t="inlineStr">
        <is>
          <t>KALMAR LÄN</t>
        </is>
      </c>
      <c r="E65" t="inlineStr">
        <is>
          <t>VÄSTERVIK</t>
        </is>
      </c>
      <c r="F65" t="inlineStr">
        <is>
          <t>Sveaskog</t>
        </is>
      </c>
      <c r="G65" t="n">
        <v>8.5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Myskmadra</t>
        </is>
      </c>
      <c r="S65">
        <f>HYPERLINK("https://klasma.github.io/Logging_VASTERVIK/artfynd/A 27200-2019.xlsx")</f>
        <v/>
      </c>
      <c r="T65">
        <f>HYPERLINK("https://klasma.github.io/Logging_VASTERVIK/kartor/A 27200-2019.png")</f>
        <v/>
      </c>
      <c r="V65">
        <f>HYPERLINK("https://klasma.github.io/Logging_VASTERVIK/klagomål/A 27200-2019.docx")</f>
        <v/>
      </c>
      <c r="W65">
        <f>HYPERLINK("https://klasma.github.io/Logging_VASTERVIK/klagomålsmail/A 27200-2019.docx")</f>
        <v/>
      </c>
      <c r="X65">
        <f>HYPERLINK("https://klasma.github.io/Logging_VASTERVIK/tillsyn/A 27200-2019.docx")</f>
        <v/>
      </c>
      <c r="Y65">
        <f>HYPERLINK("https://klasma.github.io/Logging_VASTERVIK/tillsynsmail/A 27200-2019.docx")</f>
        <v/>
      </c>
    </row>
    <row r="66" ht="15" customHeight="1">
      <c r="A66" t="inlineStr">
        <is>
          <t>A 27203-2019</t>
        </is>
      </c>
      <c r="B66" s="1" t="n">
        <v>43614</v>
      </c>
      <c r="C66" s="1" t="n">
        <v>45175</v>
      </c>
      <c r="D66" t="inlineStr">
        <is>
          <t>KALMAR LÄN</t>
        </is>
      </c>
      <c r="E66" t="inlineStr">
        <is>
          <t>VÄSTERVIK</t>
        </is>
      </c>
      <c r="F66" t="inlineStr">
        <is>
          <t>Sveaskog</t>
        </is>
      </c>
      <c r="G66" t="n">
        <v>4.8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Blomskägglav</t>
        </is>
      </c>
      <c r="S66">
        <f>HYPERLINK("https://klasma.github.io/Logging_VASTERVIK/artfynd/A 27203-2019.xlsx")</f>
        <v/>
      </c>
      <c r="T66">
        <f>HYPERLINK("https://klasma.github.io/Logging_VASTERVIK/kartor/A 27203-2019.png")</f>
        <v/>
      </c>
      <c r="V66">
        <f>HYPERLINK("https://klasma.github.io/Logging_VASTERVIK/klagomål/A 27203-2019.docx")</f>
        <v/>
      </c>
      <c r="W66">
        <f>HYPERLINK("https://klasma.github.io/Logging_VASTERVIK/klagomålsmail/A 27203-2019.docx")</f>
        <v/>
      </c>
      <c r="X66">
        <f>HYPERLINK("https://klasma.github.io/Logging_VASTERVIK/tillsyn/A 27203-2019.docx")</f>
        <v/>
      </c>
      <c r="Y66">
        <f>HYPERLINK("https://klasma.github.io/Logging_VASTERVIK/tillsynsmail/A 27203-2019.docx")</f>
        <v/>
      </c>
    </row>
    <row r="67" ht="15" customHeight="1">
      <c r="A67" t="inlineStr">
        <is>
          <t>A 27204-2019</t>
        </is>
      </c>
      <c r="B67" s="1" t="n">
        <v>43614</v>
      </c>
      <c r="C67" s="1" t="n">
        <v>45175</v>
      </c>
      <c r="D67" t="inlineStr">
        <is>
          <t>KALMAR LÄN</t>
        </is>
      </c>
      <c r="E67" t="inlineStr">
        <is>
          <t>VÄSTERVIK</t>
        </is>
      </c>
      <c r="F67" t="inlineStr">
        <is>
          <t>Sveaskog</t>
        </is>
      </c>
      <c r="G67" t="n">
        <v>12.9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Platt fjädermossa</t>
        </is>
      </c>
      <c r="S67">
        <f>HYPERLINK("https://klasma.github.io/Logging_VASTERVIK/artfynd/A 27204-2019.xlsx")</f>
        <v/>
      </c>
      <c r="T67">
        <f>HYPERLINK("https://klasma.github.io/Logging_VASTERVIK/kartor/A 27204-2019.png")</f>
        <v/>
      </c>
      <c r="V67">
        <f>HYPERLINK("https://klasma.github.io/Logging_VASTERVIK/klagomål/A 27204-2019.docx")</f>
        <v/>
      </c>
      <c r="W67">
        <f>HYPERLINK("https://klasma.github.io/Logging_VASTERVIK/klagomålsmail/A 27204-2019.docx")</f>
        <v/>
      </c>
      <c r="X67">
        <f>HYPERLINK("https://klasma.github.io/Logging_VASTERVIK/tillsyn/A 27204-2019.docx")</f>
        <v/>
      </c>
      <c r="Y67">
        <f>HYPERLINK("https://klasma.github.io/Logging_VASTERVIK/tillsynsmail/A 27204-2019.docx")</f>
        <v/>
      </c>
    </row>
    <row r="68" ht="15" customHeight="1">
      <c r="A68" t="inlineStr">
        <is>
          <t>A 59193-2019</t>
        </is>
      </c>
      <c r="B68" s="1" t="n">
        <v>43775</v>
      </c>
      <c r="C68" s="1" t="n">
        <v>45175</v>
      </c>
      <c r="D68" t="inlineStr">
        <is>
          <t>KALMAR LÄN</t>
        </is>
      </c>
      <c r="E68" t="inlineStr">
        <is>
          <t>VÄSTERVIK</t>
        </is>
      </c>
      <c r="G68" t="n">
        <v>3.8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Åkerkulla</t>
        </is>
      </c>
      <c r="S68">
        <f>HYPERLINK("https://klasma.github.io/Logging_VASTERVIK/artfynd/A 59193-2019.xlsx")</f>
        <v/>
      </c>
      <c r="T68">
        <f>HYPERLINK("https://klasma.github.io/Logging_VASTERVIK/kartor/A 59193-2019.png")</f>
        <v/>
      </c>
      <c r="V68">
        <f>HYPERLINK("https://klasma.github.io/Logging_VASTERVIK/klagomål/A 59193-2019.docx")</f>
        <v/>
      </c>
      <c r="W68">
        <f>HYPERLINK("https://klasma.github.io/Logging_VASTERVIK/klagomålsmail/A 59193-2019.docx")</f>
        <v/>
      </c>
      <c r="X68">
        <f>HYPERLINK("https://klasma.github.io/Logging_VASTERVIK/tillsyn/A 59193-2019.docx")</f>
        <v/>
      </c>
      <c r="Y68">
        <f>HYPERLINK("https://klasma.github.io/Logging_VASTERVIK/tillsynsmail/A 59193-2019.docx")</f>
        <v/>
      </c>
    </row>
    <row r="69" ht="15" customHeight="1">
      <c r="A69" t="inlineStr">
        <is>
          <t>A 16608-2020</t>
        </is>
      </c>
      <c r="B69" s="1" t="n">
        <v>43908</v>
      </c>
      <c r="C69" s="1" t="n">
        <v>45175</v>
      </c>
      <c r="D69" t="inlineStr">
        <is>
          <t>KALMAR LÄN</t>
        </is>
      </c>
      <c r="E69" t="inlineStr">
        <is>
          <t>VÄSTERVIK</t>
        </is>
      </c>
      <c r="F69" t="inlineStr">
        <is>
          <t>Övriga Aktiebolag</t>
        </is>
      </c>
      <c r="G69" t="n">
        <v>1.7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Skogsklocka</t>
        </is>
      </c>
      <c r="S69">
        <f>HYPERLINK("https://klasma.github.io/Logging_VASTERVIK/artfynd/A 16608-2020.xlsx")</f>
        <v/>
      </c>
      <c r="T69">
        <f>HYPERLINK("https://klasma.github.io/Logging_VASTERVIK/kartor/A 16608-2020.png")</f>
        <v/>
      </c>
      <c r="V69">
        <f>HYPERLINK("https://klasma.github.io/Logging_VASTERVIK/klagomål/A 16608-2020.docx")</f>
        <v/>
      </c>
      <c r="W69">
        <f>HYPERLINK("https://klasma.github.io/Logging_VASTERVIK/klagomålsmail/A 16608-2020.docx")</f>
        <v/>
      </c>
      <c r="X69">
        <f>HYPERLINK("https://klasma.github.io/Logging_VASTERVIK/tillsyn/A 16608-2020.docx")</f>
        <v/>
      </c>
      <c r="Y69">
        <f>HYPERLINK("https://klasma.github.io/Logging_VASTERVIK/tillsynsmail/A 16608-2020.docx")</f>
        <v/>
      </c>
    </row>
    <row r="70" ht="15" customHeight="1">
      <c r="A70" t="inlineStr">
        <is>
          <t>A 15357-2020</t>
        </is>
      </c>
      <c r="B70" s="1" t="n">
        <v>43913</v>
      </c>
      <c r="C70" s="1" t="n">
        <v>45175</v>
      </c>
      <c r="D70" t="inlineStr">
        <is>
          <t>KALMAR LÄN</t>
        </is>
      </c>
      <c r="E70" t="inlineStr">
        <is>
          <t>VÄSTERVIK</t>
        </is>
      </c>
      <c r="G70" t="n">
        <v>2.9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Grönpyrola</t>
        </is>
      </c>
      <c r="S70">
        <f>HYPERLINK("https://klasma.github.io/Logging_VASTERVIK/artfynd/A 15357-2020.xlsx")</f>
        <v/>
      </c>
      <c r="T70">
        <f>HYPERLINK("https://klasma.github.io/Logging_VASTERVIK/kartor/A 15357-2020.png")</f>
        <v/>
      </c>
      <c r="U70">
        <f>HYPERLINK("https://klasma.github.io/Logging_VASTERVIK/knärot/A 15357-2020.png")</f>
        <v/>
      </c>
      <c r="V70">
        <f>HYPERLINK("https://klasma.github.io/Logging_VASTERVIK/klagomål/A 15357-2020.docx")</f>
        <v/>
      </c>
      <c r="W70">
        <f>HYPERLINK("https://klasma.github.io/Logging_VASTERVIK/klagomålsmail/A 15357-2020.docx")</f>
        <v/>
      </c>
      <c r="X70">
        <f>HYPERLINK("https://klasma.github.io/Logging_VASTERVIK/tillsyn/A 15357-2020.docx")</f>
        <v/>
      </c>
      <c r="Y70">
        <f>HYPERLINK("https://klasma.github.io/Logging_VASTERVIK/tillsynsmail/A 15357-2020.docx")</f>
        <v/>
      </c>
    </row>
    <row r="71" ht="15" customHeight="1">
      <c r="A71" t="inlineStr">
        <is>
          <t>A 39836-2020</t>
        </is>
      </c>
      <c r="B71" s="1" t="n">
        <v>44064</v>
      </c>
      <c r="C71" s="1" t="n">
        <v>45175</v>
      </c>
      <c r="D71" t="inlineStr">
        <is>
          <t>KALMAR LÄN</t>
        </is>
      </c>
      <c r="E71" t="inlineStr">
        <is>
          <t>VÄSTERVIK</t>
        </is>
      </c>
      <c r="G71" t="n">
        <v>13.4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Havsörn</t>
        </is>
      </c>
      <c r="S71">
        <f>HYPERLINK("https://klasma.github.io/Logging_VASTERVIK/artfynd/A 39836-2020.xlsx")</f>
        <v/>
      </c>
      <c r="T71">
        <f>HYPERLINK("https://klasma.github.io/Logging_VASTERVIK/kartor/A 39836-2020.png")</f>
        <v/>
      </c>
      <c r="V71">
        <f>HYPERLINK("https://klasma.github.io/Logging_VASTERVIK/klagomål/A 39836-2020.docx")</f>
        <v/>
      </c>
      <c r="W71">
        <f>HYPERLINK("https://klasma.github.io/Logging_VASTERVIK/klagomålsmail/A 39836-2020.docx")</f>
        <v/>
      </c>
      <c r="X71">
        <f>HYPERLINK("https://klasma.github.io/Logging_VASTERVIK/tillsyn/A 39836-2020.docx")</f>
        <v/>
      </c>
      <c r="Y71">
        <f>HYPERLINK("https://klasma.github.io/Logging_VASTERVIK/tillsynsmail/A 39836-2020.docx")</f>
        <v/>
      </c>
    </row>
    <row r="72" ht="15" customHeight="1">
      <c r="A72" t="inlineStr">
        <is>
          <t>A 56180-2020</t>
        </is>
      </c>
      <c r="B72" s="1" t="n">
        <v>44133</v>
      </c>
      <c r="C72" s="1" t="n">
        <v>45175</v>
      </c>
      <c r="D72" t="inlineStr">
        <is>
          <t>KALMAR LÄN</t>
        </is>
      </c>
      <c r="E72" t="inlineStr">
        <is>
          <t>VÄSTERVIK</t>
        </is>
      </c>
      <c r="G72" t="n">
        <v>9.199999999999999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Mattlummer</t>
        </is>
      </c>
      <c r="S72">
        <f>HYPERLINK("https://klasma.github.io/Logging_VASTERVIK/artfynd/A 56180-2020.xlsx")</f>
        <v/>
      </c>
      <c r="T72">
        <f>HYPERLINK("https://klasma.github.io/Logging_VASTERVIK/kartor/A 56180-2020.png")</f>
        <v/>
      </c>
      <c r="V72">
        <f>HYPERLINK("https://klasma.github.io/Logging_VASTERVIK/klagomål/A 56180-2020.docx")</f>
        <v/>
      </c>
      <c r="W72">
        <f>HYPERLINK("https://klasma.github.io/Logging_VASTERVIK/klagomålsmail/A 56180-2020.docx")</f>
        <v/>
      </c>
      <c r="X72">
        <f>HYPERLINK("https://klasma.github.io/Logging_VASTERVIK/tillsyn/A 56180-2020.docx")</f>
        <v/>
      </c>
      <c r="Y72">
        <f>HYPERLINK("https://klasma.github.io/Logging_VASTERVIK/tillsynsmail/A 56180-2020.docx")</f>
        <v/>
      </c>
    </row>
    <row r="73" ht="15" customHeight="1">
      <c r="A73" t="inlineStr">
        <is>
          <t>A 66752-2020</t>
        </is>
      </c>
      <c r="B73" s="1" t="n">
        <v>44175</v>
      </c>
      <c r="C73" s="1" t="n">
        <v>45175</v>
      </c>
      <c r="D73" t="inlineStr">
        <is>
          <t>KALMAR LÄN</t>
        </is>
      </c>
      <c r="E73" t="inlineStr">
        <is>
          <t>VÄSTERVIK</t>
        </is>
      </c>
      <c r="G73" t="n">
        <v>0.7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Tallticka</t>
        </is>
      </c>
      <c r="S73">
        <f>HYPERLINK("https://klasma.github.io/Logging_VASTERVIK/artfynd/A 66752-2020.xlsx")</f>
        <v/>
      </c>
      <c r="T73">
        <f>HYPERLINK("https://klasma.github.io/Logging_VASTERVIK/kartor/A 66752-2020.png")</f>
        <v/>
      </c>
      <c r="V73">
        <f>HYPERLINK("https://klasma.github.io/Logging_VASTERVIK/klagomål/A 66752-2020.docx")</f>
        <v/>
      </c>
      <c r="W73">
        <f>HYPERLINK("https://klasma.github.io/Logging_VASTERVIK/klagomålsmail/A 66752-2020.docx")</f>
        <v/>
      </c>
      <c r="X73">
        <f>HYPERLINK("https://klasma.github.io/Logging_VASTERVIK/tillsyn/A 66752-2020.docx")</f>
        <v/>
      </c>
      <c r="Y73">
        <f>HYPERLINK("https://klasma.github.io/Logging_VASTERVIK/tillsynsmail/A 66752-2020.docx")</f>
        <v/>
      </c>
    </row>
    <row r="74" ht="15" customHeight="1">
      <c r="A74" t="inlineStr">
        <is>
          <t>A 69632-2020</t>
        </is>
      </c>
      <c r="B74" s="1" t="n">
        <v>44195</v>
      </c>
      <c r="C74" s="1" t="n">
        <v>45175</v>
      </c>
      <c r="D74" t="inlineStr">
        <is>
          <t>KALMAR LÄN</t>
        </is>
      </c>
      <c r="E74" t="inlineStr">
        <is>
          <t>VÄSTERVIK</t>
        </is>
      </c>
      <c r="G74" t="n">
        <v>2.5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Tallticka</t>
        </is>
      </c>
      <c r="S74">
        <f>HYPERLINK("https://klasma.github.io/Logging_VASTERVIK/artfynd/A 69632-2020.xlsx")</f>
        <v/>
      </c>
      <c r="T74">
        <f>HYPERLINK("https://klasma.github.io/Logging_VASTERVIK/kartor/A 69632-2020.png")</f>
        <v/>
      </c>
      <c r="V74">
        <f>HYPERLINK("https://klasma.github.io/Logging_VASTERVIK/klagomål/A 69632-2020.docx")</f>
        <v/>
      </c>
      <c r="W74">
        <f>HYPERLINK("https://klasma.github.io/Logging_VASTERVIK/klagomålsmail/A 69632-2020.docx")</f>
        <v/>
      </c>
      <c r="X74">
        <f>HYPERLINK("https://klasma.github.io/Logging_VASTERVIK/tillsyn/A 69632-2020.docx")</f>
        <v/>
      </c>
      <c r="Y74">
        <f>HYPERLINK("https://klasma.github.io/Logging_VASTERVIK/tillsynsmail/A 69632-2020.docx")</f>
        <v/>
      </c>
    </row>
    <row r="75" ht="15" customHeight="1">
      <c r="A75" t="inlineStr">
        <is>
          <t>A 20233-2021</t>
        </is>
      </c>
      <c r="B75" s="1" t="n">
        <v>44314</v>
      </c>
      <c r="C75" s="1" t="n">
        <v>45175</v>
      </c>
      <c r="D75" t="inlineStr">
        <is>
          <t>KALMAR LÄN</t>
        </is>
      </c>
      <c r="E75" t="inlineStr">
        <is>
          <t>VÄSTERVIK</t>
        </is>
      </c>
      <c r="F75" t="inlineStr">
        <is>
          <t>Holmen skog AB</t>
        </is>
      </c>
      <c r="G75" t="n">
        <v>11.8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Skogsklocka</t>
        </is>
      </c>
      <c r="S75">
        <f>HYPERLINK("https://klasma.github.io/Logging_VASTERVIK/artfynd/A 20233-2021.xlsx")</f>
        <v/>
      </c>
      <c r="T75">
        <f>HYPERLINK("https://klasma.github.io/Logging_VASTERVIK/kartor/A 20233-2021.png")</f>
        <v/>
      </c>
      <c r="V75">
        <f>HYPERLINK("https://klasma.github.io/Logging_VASTERVIK/klagomål/A 20233-2021.docx")</f>
        <v/>
      </c>
      <c r="W75">
        <f>HYPERLINK("https://klasma.github.io/Logging_VASTERVIK/klagomålsmail/A 20233-2021.docx")</f>
        <v/>
      </c>
      <c r="X75">
        <f>HYPERLINK("https://klasma.github.io/Logging_VASTERVIK/tillsyn/A 20233-2021.docx")</f>
        <v/>
      </c>
      <c r="Y75">
        <f>HYPERLINK("https://klasma.github.io/Logging_VASTERVIK/tillsynsmail/A 20233-2021.docx")</f>
        <v/>
      </c>
    </row>
    <row r="76" ht="15" customHeight="1">
      <c r="A76" t="inlineStr">
        <is>
          <t>A 24048-2021</t>
        </is>
      </c>
      <c r="B76" s="1" t="n">
        <v>44336</v>
      </c>
      <c r="C76" s="1" t="n">
        <v>45175</v>
      </c>
      <c r="D76" t="inlineStr">
        <is>
          <t>KALMAR LÄN</t>
        </is>
      </c>
      <c r="E76" t="inlineStr">
        <is>
          <t>VÄSTERVIK</t>
        </is>
      </c>
      <c r="G76" t="n">
        <v>3.5</v>
      </c>
      <c r="H76" t="n">
        <v>1</v>
      </c>
      <c r="I76" t="n">
        <v>0</v>
      </c>
      <c r="J76" t="n">
        <v>0</v>
      </c>
      <c r="K76" t="n">
        <v>1</v>
      </c>
      <c r="L76" t="n">
        <v>0</v>
      </c>
      <c r="M76" t="n">
        <v>0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Knärot</t>
        </is>
      </c>
      <c r="S76">
        <f>HYPERLINK("https://klasma.github.io/Logging_VASTERVIK/artfynd/A 24048-2021.xlsx")</f>
        <v/>
      </c>
      <c r="T76">
        <f>HYPERLINK("https://klasma.github.io/Logging_VASTERVIK/kartor/A 24048-2021.png")</f>
        <v/>
      </c>
      <c r="U76">
        <f>HYPERLINK("https://klasma.github.io/Logging_VASTERVIK/knärot/A 24048-2021.png")</f>
        <v/>
      </c>
      <c r="V76">
        <f>HYPERLINK("https://klasma.github.io/Logging_VASTERVIK/klagomål/A 24048-2021.docx")</f>
        <v/>
      </c>
      <c r="W76">
        <f>HYPERLINK("https://klasma.github.io/Logging_VASTERVIK/klagomålsmail/A 24048-2021.docx")</f>
        <v/>
      </c>
      <c r="X76">
        <f>HYPERLINK("https://klasma.github.io/Logging_VASTERVIK/tillsyn/A 24048-2021.docx")</f>
        <v/>
      </c>
      <c r="Y76">
        <f>HYPERLINK("https://klasma.github.io/Logging_VASTERVIK/tillsynsmail/A 24048-2021.docx")</f>
        <v/>
      </c>
    </row>
    <row r="77" ht="15" customHeight="1">
      <c r="A77" t="inlineStr">
        <is>
          <t>A 25447-2021</t>
        </is>
      </c>
      <c r="B77" s="1" t="n">
        <v>44342</v>
      </c>
      <c r="C77" s="1" t="n">
        <v>45175</v>
      </c>
      <c r="D77" t="inlineStr">
        <is>
          <t>KALMAR LÄN</t>
        </is>
      </c>
      <c r="E77" t="inlineStr">
        <is>
          <t>VÄSTERVIK</t>
        </is>
      </c>
      <c r="F77" t="inlineStr">
        <is>
          <t>Holmen skog AB</t>
        </is>
      </c>
      <c r="G77" t="n">
        <v>9</v>
      </c>
      <c r="H77" t="n">
        <v>1</v>
      </c>
      <c r="I77" t="n">
        <v>0</v>
      </c>
      <c r="J77" t="n">
        <v>0</v>
      </c>
      <c r="K77" t="n">
        <v>1</v>
      </c>
      <c r="L77" t="n">
        <v>0</v>
      </c>
      <c r="M77" t="n">
        <v>0</v>
      </c>
      <c r="N77" t="n">
        <v>0</v>
      </c>
      <c r="O77" t="n">
        <v>1</v>
      </c>
      <c r="P77" t="n">
        <v>1</v>
      </c>
      <c r="Q77" t="n">
        <v>1</v>
      </c>
      <c r="R77" s="2" t="inlineStr">
        <is>
          <t>Knärot</t>
        </is>
      </c>
      <c r="S77">
        <f>HYPERLINK("https://klasma.github.io/Logging_VASTERVIK/artfynd/A 25447-2021.xlsx")</f>
        <v/>
      </c>
      <c r="T77">
        <f>HYPERLINK("https://klasma.github.io/Logging_VASTERVIK/kartor/A 25447-2021.png")</f>
        <v/>
      </c>
      <c r="U77">
        <f>HYPERLINK("https://klasma.github.io/Logging_VASTERVIK/knärot/A 25447-2021.png")</f>
        <v/>
      </c>
      <c r="V77">
        <f>HYPERLINK("https://klasma.github.io/Logging_VASTERVIK/klagomål/A 25447-2021.docx")</f>
        <v/>
      </c>
      <c r="W77">
        <f>HYPERLINK("https://klasma.github.io/Logging_VASTERVIK/klagomålsmail/A 25447-2021.docx")</f>
        <v/>
      </c>
      <c r="X77">
        <f>HYPERLINK("https://klasma.github.io/Logging_VASTERVIK/tillsyn/A 25447-2021.docx")</f>
        <v/>
      </c>
      <c r="Y77">
        <f>HYPERLINK("https://klasma.github.io/Logging_VASTERVIK/tillsynsmail/A 25447-2021.docx")</f>
        <v/>
      </c>
    </row>
    <row r="78" ht="15" customHeight="1">
      <c r="A78" t="inlineStr">
        <is>
          <t>A 25439-2021</t>
        </is>
      </c>
      <c r="B78" s="1" t="n">
        <v>44342</v>
      </c>
      <c r="C78" s="1" t="n">
        <v>45175</v>
      </c>
      <c r="D78" t="inlineStr">
        <is>
          <t>KALMAR LÄN</t>
        </is>
      </c>
      <c r="E78" t="inlineStr">
        <is>
          <t>VÄSTERVIK</t>
        </is>
      </c>
      <c r="F78" t="inlineStr">
        <is>
          <t>Holmen skog AB</t>
        </is>
      </c>
      <c r="G78" t="n">
        <v>2.4</v>
      </c>
      <c r="H78" t="n">
        <v>1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Grön sköldmossa</t>
        </is>
      </c>
      <c r="S78">
        <f>HYPERLINK("https://klasma.github.io/Logging_VASTERVIK/artfynd/A 25439-2021.xlsx")</f>
        <v/>
      </c>
      <c r="T78">
        <f>HYPERLINK("https://klasma.github.io/Logging_VASTERVIK/kartor/A 25439-2021.png")</f>
        <v/>
      </c>
      <c r="V78">
        <f>HYPERLINK("https://klasma.github.io/Logging_VASTERVIK/klagomål/A 25439-2021.docx")</f>
        <v/>
      </c>
      <c r="W78">
        <f>HYPERLINK("https://klasma.github.io/Logging_VASTERVIK/klagomålsmail/A 25439-2021.docx")</f>
        <v/>
      </c>
      <c r="X78">
        <f>HYPERLINK("https://klasma.github.io/Logging_VASTERVIK/tillsyn/A 25439-2021.docx")</f>
        <v/>
      </c>
      <c r="Y78">
        <f>HYPERLINK("https://klasma.github.io/Logging_VASTERVIK/tillsynsmail/A 25439-2021.docx")</f>
        <v/>
      </c>
    </row>
    <row r="79" ht="15" customHeight="1">
      <c r="A79" t="inlineStr">
        <is>
          <t>A 25594-2021</t>
        </is>
      </c>
      <c r="B79" s="1" t="n">
        <v>44343</v>
      </c>
      <c r="C79" s="1" t="n">
        <v>45175</v>
      </c>
      <c r="D79" t="inlineStr">
        <is>
          <t>KALMAR LÄN</t>
        </is>
      </c>
      <c r="E79" t="inlineStr">
        <is>
          <t>VÄSTERVIK</t>
        </is>
      </c>
      <c r="F79" t="inlineStr">
        <is>
          <t>Holmen skog AB</t>
        </is>
      </c>
      <c r="G79" t="n">
        <v>3.2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Knärot</t>
        </is>
      </c>
      <c r="S79">
        <f>HYPERLINK("https://klasma.github.io/Logging_VASTERVIK/artfynd/A 25594-2021.xlsx")</f>
        <v/>
      </c>
      <c r="T79">
        <f>HYPERLINK("https://klasma.github.io/Logging_VASTERVIK/kartor/A 25594-2021.png")</f>
        <v/>
      </c>
      <c r="U79">
        <f>HYPERLINK("https://klasma.github.io/Logging_VASTERVIK/knärot/A 25594-2021.png")</f>
        <v/>
      </c>
      <c r="V79">
        <f>HYPERLINK("https://klasma.github.io/Logging_VASTERVIK/klagomål/A 25594-2021.docx")</f>
        <v/>
      </c>
      <c r="W79">
        <f>HYPERLINK("https://klasma.github.io/Logging_VASTERVIK/klagomålsmail/A 25594-2021.docx")</f>
        <v/>
      </c>
      <c r="X79">
        <f>HYPERLINK("https://klasma.github.io/Logging_VASTERVIK/tillsyn/A 25594-2021.docx")</f>
        <v/>
      </c>
      <c r="Y79">
        <f>HYPERLINK("https://klasma.github.io/Logging_VASTERVIK/tillsynsmail/A 25594-2021.docx")</f>
        <v/>
      </c>
    </row>
    <row r="80" ht="15" customHeight="1">
      <c r="A80" t="inlineStr">
        <is>
          <t>A 29455-2021</t>
        </is>
      </c>
      <c r="B80" s="1" t="n">
        <v>44361</v>
      </c>
      <c r="C80" s="1" t="n">
        <v>45175</v>
      </c>
      <c r="D80" t="inlineStr">
        <is>
          <t>KALMAR LÄN</t>
        </is>
      </c>
      <c r="E80" t="inlineStr">
        <is>
          <t>VÄSTERVIK</t>
        </is>
      </c>
      <c r="F80" t="inlineStr">
        <is>
          <t>Övriga Aktiebolag</t>
        </is>
      </c>
      <c r="G80" t="n">
        <v>3.1</v>
      </c>
      <c r="H80" t="n">
        <v>1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Knärot</t>
        </is>
      </c>
      <c r="S80">
        <f>HYPERLINK("https://klasma.github.io/Logging_VASTERVIK/artfynd/A 29455-2021.xlsx")</f>
        <v/>
      </c>
      <c r="T80">
        <f>HYPERLINK("https://klasma.github.io/Logging_VASTERVIK/kartor/A 29455-2021.png")</f>
        <v/>
      </c>
      <c r="U80">
        <f>HYPERLINK("https://klasma.github.io/Logging_VASTERVIK/knärot/A 29455-2021.png")</f>
        <v/>
      </c>
      <c r="V80">
        <f>HYPERLINK("https://klasma.github.io/Logging_VASTERVIK/klagomål/A 29455-2021.docx")</f>
        <v/>
      </c>
      <c r="W80">
        <f>HYPERLINK("https://klasma.github.io/Logging_VASTERVIK/klagomålsmail/A 29455-2021.docx")</f>
        <v/>
      </c>
      <c r="X80">
        <f>HYPERLINK("https://klasma.github.io/Logging_VASTERVIK/tillsyn/A 29455-2021.docx")</f>
        <v/>
      </c>
      <c r="Y80">
        <f>HYPERLINK("https://klasma.github.io/Logging_VASTERVIK/tillsynsmail/A 29455-2021.docx")</f>
        <v/>
      </c>
    </row>
    <row r="81" ht="15" customHeight="1">
      <c r="A81" t="inlineStr">
        <is>
          <t>A 31315-2021</t>
        </is>
      </c>
      <c r="B81" s="1" t="n">
        <v>44368</v>
      </c>
      <c r="C81" s="1" t="n">
        <v>45175</v>
      </c>
      <c r="D81" t="inlineStr">
        <is>
          <t>KALMAR LÄN</t>
        </is>
      </c>
      <c r="E81" t="inlineStr">
        <is>
          <t>VÄSTERVIK</t>
        </is>
      </c>
      <c r="G81" t="n">
        <v>3.3</v>
      </c>
      <c r="H81" t="n">
        <v>1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Knärot</t>
        </is>
      </c>
      <c r="S81">
        <f>HYPERLINK("https://klasma.github.io/Logging_VASTERVIK/artfynd/A 31315-2021.xlsx")</f>
        <v/>
      </c>
      <c r="T81">
        <f>HYPERLINK("https://klasma.github.io/Logging_VASTERVIK/kartor/A 31315-2021.png")</f>
        <v/>
      </c>
      <c r="U81">
        <f>HYPERLINK("https://klasma.github.io/Logging_VASTERVIK/knärot/A 31315-2021.png")</f>
        <v/>
      </c>
      <c r="V81">
        <f>HYPERLINK("https://klasma.github.io/Logging_VASTERVIK/klagomål/A 31315-2021.docx")</f>
        <v/>
      </c>
      <c r="W81">
        <f>HYPERLINK("https://klasma.github.io/Logging_VASTERVIK/klagomålsmail/A 31315-2021.docx")</f>
        <v/>
      </c>
      <c r="X81">
        <f>HYPERLINK("https://klasma.github.io/Logging_VASTERVIK/tillsyn/A 31315-2021.docx")</f>
        <v/>
      </c>
      <c r="Y81">
        <f>HYPERLINK("https://klasma.github.io/Logging_VASTERVIK/tillsynsmail/A 31315-2021.docx")</f>
        <v/>
      </c>
    </row>
    <row r="82" ht="15" customHeight="1">
      <c r="A82" t="inlineStr">
        <is>
          <t>A 37438-2021</t>
        </is>
      </c>
      <c r="B82" s="1" t="n">
        <v>44398</v>
      </c>
      <c r="C82" s="1" t="n">
        <v>45175</v>
      </c>
      <c r="D82" t="inlineStr">
        <is>
          <t>KALMAR LÄN</t>
        </is>
      </c>
      <c r="E82" t="inlineStr">
        <is>
          <t>VÄSTERVIK</t>
        </is>
      </c>
      <c r="G82" t="n">
        <v>14.3</v>
      </c>
      <c r="H82" t="n">
        <v>1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Knärot</t>
        </is>
      </c>
      <c r="S82">
        <f>HYPERLINK("https://klasma.github.io/Logging_VASTERVIK/artfynd/A 37438-2021.xlsx")</f>
        <v/>
      </c>
      <c r="T82">
        <f>HYPERLINK("https://klasma.github.io/Logging_VASTERVIK/kartor/A 37438-2021.png")</f>
        <v/>
      </c>
      <c r="U82">
        <f>HYPERLINK("https://klasma.github.io/Logging_VASTERVIK/knärot/A 37438-2021.png")</f>
        <v/>
      </c>
      <c r="V82">
        <f>HYPERLINK("https://klasma.github.io/Logging_VASTERVIK/klagomål/A 37438-2021.docx")</f>
        <v/>
      </c>
      <c r="W82">
        <f>HYPERLINK("https://klasma.github.io/Logging_VASTERVIK/klagomålsmail/A 37438-2021.docx")</f>
        <v/>
      </c>
      <c r="X82">
        <f>HYPERLINK("https://klasma.github.io/Logging_VASTERVIK/tillsyn/A 37438-2021.docx")</f>
        <v/>
      </c>
      <c r="Y82">
        <f>HYPERLINK("https://klasma.github.io/Logging_VASTERVIK/tillsynsmail/A 37438-2021.docx")</f>
        <v/>
      </c>
    </row>
    <row r="83" ht="15" customHeight="1">
      <c r="A83" t="inlineStr">
        <is>
          <t>A 44635-2021</t>
        </is>
      </c>
      <c r="B83" s="1" t="n">
        <v>44437</v>
      </c>
      <c r="C83" s="1" t="n">
        <v>45175</v>
      </c>
      <c r="D83" t="inlineStr">
        <is>
          <t>KALMAR LÄN</t>
        </is>
      </c>
      <c r="E83" t="inlineStr">
        <is>
          <t>VÄSTERVIK</t>
        </is>
      </c>
      <c r="G83" t="n">
        <v>0.9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Brandticka</t>
        </is>
      </c>
      <c r="S83">
        <f>HYPERLINK("https://klasma.github.io/Logging_VASTERVIK/artfynd/A 44635-2021.xlsx")</f>
        <v/>
      </c>
      <c r="T83">
        <f>HYPERLINK("https://klasma.github.io/Logging_VASTERVIK/kartor/A 44635-2021.png")</f>
        <v/>
      </c>
      <c r="V83">
        <f>HYPERLINK("https://klasma.github.io/Logging_VASTERVIK/klagomål/A 44635-2021.docx")</f>
        <v/>
      </c>
      <c r="W83">
        <f>HYPERLINK("https://klasma.github.io/Logging_VASTERVIK/klagomålsmail/A 44635-2021.docx")</f>
        <v/>
      </c>
      <c r="X83">
        <f>HYPERLINK("https://klasma.github.io/Logging_VASTERVIK/tillsyn/A 44635-2021.docx")</f>
        <v/>
      </c>
      <c r="Y83">
        <f>HYPERLINK("https://klasma.github.io/Logging_VASTERVIK/tillsynsmail/A 44635-2021.docx")</f>
        <v/>
      </c>
    </row>
    <row r="84" ht="15" customHeight="1">
      <c r="A84" t="inlineStr">
        <is>
          <t>A 47860-2021</t>
        </is>
      </c>
      <c r="B84" s="1" t="n">
        <v>44448</v>
      </c>
      <c r="C84" s="1" t="n">
        <v>45175</v>
      </c>
      <c r="D84" t="inlineStr">
        <is>
          <t>KALMAR LÄN</t>
        </is>
      </c>
      <c r="E84" t="inlineStr">
        <is>
          <t>VÄSTERVIK</t>
        </is>
      </c>
      <c r="G84" t="n">
        <v>2.8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Tallticka</t>
        </is>
      </c>
      <c r="S84">
        <f>HYPERLINK("https://klasma.github.io/Logging_VASTERVIK/artfynd/A 47860-2021.xlsx")</f>
        <v/>
      </c>
      <c r="T84">
        <f>HYPERLINK("https://klasma.github.io/Logging_VASTERVIK/kartor/A 47860-2021.png")</f>
        <v/>
      </c>
      <c r="V84">
        <f>HYPERLINK("https://klasma.github.io/Logging_VASTERVIK/klagomål/A 47860-2021.docx")</f>
        <v/>
      </c>
      <c r="W84">
        <f>HYPERLINK("https://klasma.github.io/Logging_VASTERVIK/klagomålsmail/A 47860-2021.docx")</f>
        <v/>
      </c>
      <c r="X84">
        <f>HYPERLINK("https://klasma.github.io/Logging_VASTERVIK/tillsyn/A 47860-2021.docx")</f>
        <v/>
      </c>
      <c r="Y84">
        <f>HYPERLINK("https://klasma.github.io/Logging_VASTERVIK/tillsynsmail/A 47860-2021.docx")</f>
        <v/>
      </c>
    </row>
    <row r="85" ht="15" customHeight="1">
      <c r="A85" t="inlineStr">
        <is>
          <t>A 52831-2021</t>
        </is>
      </c>
      <c r="B85" s="1" t="n">
        <v>44467</v>
      </c>
      <c r="C85" s="1" t="n">
        <v>45175</v>
      </c>
      <c r="D85" t="inlineStr">
        <is>
          <t>KALMAR LÄN</t>
        </is>
      </c>
      <c r="E85" t="inlineStr">
        <is>
          <t>VÄSTERVIK</t>
        </is>
      </c>
      <c r="G85" t="n">
        <v>0.8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Tallticka</t>
        </is>
      </c>
      <c r="S85">
        <f>HYPERLINK("https://klasma.github.io/Logging_VASTERVIK/artfynd/A 52831-2021.xlsx")</f>
        <v/>
      </c>
      <c r="T85">
        <f>HYPERLINK("https://klasma.github.io/Logging_VASTERVIK/kartor/A 52831-2021.png")</f>
        <v/>
      </c>
      <c r="V85">
        <f>HYPERLINK("https://klasma.github.io/Logging_VASTERVIK/klagomål/A 52831-2021.docx")</f>
        <v/>
      </c>
      <c r="W85">
        <f>HYPERLINK("https://klasma.github.io/Logging_VASTERVIK/klagomålsmail/A 52831-2021.docx")</f>
        <v/>
      </c>
      <c r="X85">
        <f>HYPERLINK("https://klasma.github.io/Logging_VASTERVIK/tillsyn/A 52831-2021.docx")</f>
        <v/>
      </c>
      <c r="Y85">
        <f>HYPERLINK("https://klasma.github.io/Logging_VASTERVIK/tillsynsmail/A 52831-2021.docx")</f>
        <v/>
      </c>
    </row>
    <row r="86" ht="15" customHeight="1">
      <c r="A86" t="inlineStr">
        <is>
          <t>A 53738-2021</t>
        </is>
      </c>
      <c r="B86" s="1" t="n">
        <v>44467</v>
      </c>
      <c r="C86" s="1" t="n">
        <v>45175</v>
      </c>
      <c r="D86" t="inlineStr">
        <is>
          <t>KALMAR LÄN</t>
        </is>
      </c>
      <c r="E86" t="inlineStr">
        <is>
          <t>VÄSTERVIK</t>
        </is>
      </c>
      <c r="G86" t="n">
        <v>2.8</v>
      </c>
      <c r="H86" t="n">
        <v>1</v>
      </c>
      <c r="I86" t="n">
        <v>0</v>
      </c>
      <c r="J86" t="n">
        <v>0</v>
      </c>
      <c r="K86" t="n">
        <v>1</v>
      </c>
      <c r="L86" t="n">
        <v>0</v>
      </c>
      <c r="M86" t="n">
        <v>0</v>
      </c>
      <c r="N86" t="n">
        <v>0</v>
      </c>
      <c r="O86" t="n">
        <v>1</v>
      </c>
      <c r="P86" t="n">
        <v>1</v>
      </c>
      <c r="Q86" t="n">
        <v>1</v>
      </c>
      <c r="R86" s="2" t="inlineStr">
        <is>
          <t>Knärot</t>
        </is>
      </c>
      <c r="S86">
        <f>HYPERLINK("https://klasma.github.io/Logging_VASTERVIK/artfynd/A 53738-2021.xlsx")</f>
        <v/>
      </c>
      <c r="T86">
        <f>HYPERLINK("https://klasma.github.io/Logging_VASTERVIK/kartor/A 53738-2021.png")</f>
        <v/>
      </c>
      <c r="U86">
        <f>HYPERLINK("https://klasma.github.io/Logging_VASTERVIK/knärot/A 53738-2021.png")</f>
        <v/>
      </c>
      <c r="V86">
        <f>HYPERLINK("https://klasma.github.io/Logging_VASTERVIK/klagomål/A 53738-2021.docx")</f>
        <v/>
      </c>
      <c r="W86">
        <f>HYPERLINK("https://klasma.github.io/Logging_VASTERVIK/klagomålsmail/A 53738-2021.docx")</f>
        <v/>
      </c>
      <c r="X86">
        <f>HYPERLINK("https://klasma.github.io/Logging_VASTERVIK/tillsyn/A 53738-2021.docx")</f>
        <v/>
      </c>
      <c r="Y86">
        <f>HYPERLINK("https://klasma.github.io/Logging_VASTERVIK/tillsynsmail/A 53738-2021.docx")</f>
        <v/>
      </c>
    </row>
    <row r="87" ht="15" customHeight="1">
      <c r="A87" t="inlineStr">
        <is>
          <t>A 56618-2021</t>
        </is>
      </c>
      <c r="B87" s="1" t="n">
        <v>44480</v>
      </c>
      <c r="C87" s="1" t="n">
        <v>45175</v>
      </c>
      <c r="D87" t="inlineStr">
        <is>
          <t>KALMAR LÄN</t>
        </is>
      </c>
      <c r="E87" t="inlineStr">
        <is>
          <t>VÄSTERVIK</t>
        </is>
      </c>
      <c r="G87" t="n">
        <v>1.5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Tallticka</t>
        </is>
      </c>
      <c r="S87">
        <f>HYPERLINK("https://klasma.github.io/Logging_VASTERVIK/artfynd/A 56618-2021.xlsx")</f>
        <v/>
      </c>
      <c r="T87">
        <f>HYPERLINK("https://klasma.github.io/Logging_VASTERVIK/kartor/A 56618-2021.png")</f>
        <v/>
      </c>
      <c r="V87">
        <f>HYPERLINK("https://klasma.github.io/Logging_VASTERVIK/klagomål/A 56618-2021.docx")</f>
        <v/>
      </c>
      <c r="W87">
        <f>HYPERLINK("https://klasma.github.io/Logging_VASTERVIK/klagomålsmail/A 56618-2021.docx")</f>
        <v/>
      </c>
      <c r="X87">
        <f>HYPERLINK("https://klasma.github.io/Logging_VASTERVIK/tillsyn/A 56618-2021.docx")</f>
        <v/>
      </c>
      <c r="Y87">
        <f>HYPERLINK("https://klasma.github.io/Logging_VASTERVIK/tillsynsmail/A 56618-2021.docx")</f>
        <v/>
      </c>
    </row>
    <row r="88" ht="15" customHeight="1">
      <c r="A88" t="inlineStr">
        <is>
          <t>A 61319-2021</t>
        </is>
      </c>
      <c r="B88" s="1" t="n">
        <v>44498</v>
      </c>
      <c r="C88" s="1" t="n">
        <v>45175</v>
      </c>
      <c r="D88" t="inlineStr">
        <is>
          <t>KALMAR LÄN</t>
        </is>
      </c>
      <c r="E88" t="inlineStr">
        <is>
          <t>VÄSTERVIK</t>
        </is>
      </c>
      <c r="G88" t="n">
        <v>2.2</v>
      </c>
      <c r="H88" t="n">
        <v>1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Ekoxe</t>
        </is>
      </c>
      <c r="S88">
        <f>HYPERLINK("https://klasma.github.io/Logging_VASTERVIK/artfynd/A 61319-2021.xlsx")</f>
        <v/>
      </c>
      <c r="T88">
        <f>HYPERLINK("https://klasma.github.io/Logging_VASTERVIK/kartor/A 61319-2021.png")</f>
        <v/>
      </c>
      <c r="V88">
        <f>HYPERLINK("https://klasma.github.io/Logging_VASTERVIK/klagomål/A 61319-2021.docx")</f>
        <v/>
      </c>
      <c r="W88">
        <f>HYPERLINK("https://klasma.github.io/Logging_VASTERVIK/klagomålsmail/A 61319-2021.docx")</f>
        <v/>
      </c>
      <c r="X88">
        <f>HYPERLINK("https://klasma.github.io/Logging_VASTERVIK/tillsyn/A 61319-2021.docx")</f>
        <v/>
      </c>
      <c r="Y88">
        <f>HYPERLINK("https://klasma.github.io/Logging_VASTERVIK/tillsynsmail/A 61319-2021.docx")</f>
        <v/>
      </c>
    </row>
    <row r="89" ht="15" customHeight="1">
      <c r="A89" t="inlineStr">
        <is>
          <t>A 1677-2022</t>
        </is>
      </c>
      <c r="B89" s="1" t="n">
        <v>44574</v>
      </c>
      <c r="C89" s="1" t="n">
        <v>45175</v>
      </c>
      <c r="D89" t="inlineStr">
        <is>
          <t>KALMAR LÄN</t>
        </is>
      </c>
      <c r="E89" t="inlineStr">
        <is>
          <t>VÄSTERVIK</t>
        </is>
      </c>
      <c r="G89" t="n">
        <v>3.3</v>
      </c>
      <c r="H89" t="n">
        <v>1</v>
      </c>
      <c r="I89" t="n">
        <v>0</v>
      </c>
      <c r="J89" t="n">
        <v>0</v>
      </c>
      <c r="K89" t="n">
        <v>1</v>
      </c>
      <c r="L89" t="n">
        <v>0</v>
      </c>
      <c r="M89" t="n">
        <v>0</v>
      </c>
      <c r="N89" t="n">
        <v>0</v>
      </c>
      <c r="O89" t="n">
        <v>1</v>
      </c>
      <c r="P89" t="n">
        <v>1</v>
      </c>
      <c r="Q89" t="n">
        <v>1</v>
      </c>
      <c r="R89" s="2" t="inlineStr">
        <is>
          <t>Knärot</t>
        </is>
      </c>
      <c r="S89">
        <f>HYPERLINK("https://klasma.github.io/Logging_VASTERVIK/artfynd/A 1677-2022.xlsx")</f>
        <v/>
      </c>
      <c r="T89">
        <f>HYPERLINK("https://klasma.github.io/Logging_VASTERVIK/kartor/A 1677-2022.png")</f>
        <v/>
      </c>
      <c r="U89">
        <f>HYPERLINK("https://klasma.github.io/Logging_VASTERVIK/knärot/A 1677-2022.png")</f>
        <v/>
      </c>
      <c r="V89">
        <f>HYPERLINK("https://klasma.github.io/Logging_VASTERVIK/klagomål/A 1677-2022.docx")</f>
        <v/>
      </c>
      <c r="W89">
        <f>HYPERLINK("https://klasma.github.io/Logging_VASTERVIK/klagomålsmail/A 1677-2022.docx")</f>
        <v/>
      </c>
      <c r="X89">
        <f>HYPERLINK("https://klasma.github.io/Logging_VASTERVIK/tillsyn/A 1677-2022.docx")</f>
        <v/>
      </c>
      <c r="Y89">
        <f>HYPERLINK("https://klasma.github.io/Logging_VASTERVIK/tillsynsmail/A 1677-2022.docx")</f>
        <v/>
      </c>
    </row>
    <row r="90" ht="15" customHeight="1">
      <c r="A90" t="inlineStr">
        <is>
          <t>A 12662-2022</t>
        </is>
      </c>
      <c r="B90" s="1" t="n">
        <v>44641</v>
      </c>
      <c r="C90" s="1" t="n">
        <v>45175</v>
      </c>
      <c r="D90" t="inlineStr">
        <is>
          <t>KALMAR LÄN</t>
        </is>
      </c>
      <c r="E90" t="inlineStr">
        <is>
          <t>VÄSTERVIK</t>
        </is>
      </c>
      <c r="G90" t="n">
        <v>2.1</v>
      </c>
      <c r="H90" t="n">
        <v>0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Blåmossa</t>
        </is>
      </c>
      <c r="S90">
        <f>HYPERLINK("https://klasma.github.io/Logging_VASTERVIK/artfynd/A 12662-2022.xlsx")</f>
        <v/>
      </c>
      <c r="T90">
        <f>HYPERLINK("https://klasma.github.io/Logging_VASTERVIK/kartor/A 12662-2022.png")</f>
        <v/>
      </c>
      <c r="V90">
        <f>HYPERLINK("https://klasma.github.io/Logging_VASTERVIK/klagomål/A 12662-2022.docx")</f>
        <v/>
      </c>
      <c r="W90">
        <f>HYPERLINK("https://klasma.github.io/Logging_VASTERVIK/klagomålsmail/A 12662-2022.docx")</f>
        <v/>
      </c>
      <c r="X90">
        <f>HYPERLINK("https://klasma.github.io/Logging_VASTERVIK/tillsyn/A 12662-2022.docx")</f>
        <v/>
      </c>
      <c r="Y90">
        <f>HYPERLINK("https://klasma.github.io/Logging_VASTERVIK/tillsynsmail/A 12662-2022.docx")</f>
        <v/>
      </c>
    </row>
    <row r="91" ht="15" customHeight="1">
      <c r="A91" t="inlineStr">
        <is>
          <t>A 15378-2022</t>
        </is>
      </c>
      <c r="B91" s="1" t="n">
        <v>44659</v>
      </c>
      <c r="C91" s="1" t="n">
        <v>45175</v>
      </c>
      <c r="D91" t="inlineStr">
        <is>
          <t>KALMAR LÄN</t>
        </is>
      </c>
      <c r="E91" t="inlineStr">
        <is>
          <t>VÄSTERVIK</t>
        </is>
      </c>
      <c r="G91" t="n">
        <v>1.4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Klofibbla</t>
        </is>
      </c>
      <c r="S91">
        <f>HYPERLINK("https://klasma.github.io/Logging_VASTERVIK/artfynd/A 15378-2022.xlsx")</f>
        <v/>
      </c>
      <c r="T91">
        <f>HYPERLINK("https://klasma.github.io/Logging_VASTERVIK/kartor/A 15378-2022.png")</f>
        <v/>
      </c>
      <c r="V91">
        <f>HYPERLINK("https://klasma.github.io/Logging_VASTERVIK/klagomål/A 15378-2022.docx")</f>
        <v/>
      </c>
      <c r="W91">
        <f>HYPERLINK("https://klasma.github.io/Logging_VASTERVIK/klagomålsmail/A 15378-2022.docx")</f>
        <v/>
      </c>
      <c r="X91">
        <f>HYPERLINK("https://klasma.github.io/Logging_VASTERVIK/tillsyn/A 15378-2022.docx")</f>
        <v/>
      </c>
      <c r="Y91">
        <f>HYPERLINK("https://klasma.github.io/Logging_VASTERVIK/tillsynsmail/A 15378-2022.docx")</f>
        <v/>
      </c>
    </row>
    <row r="92" ht="15" customHeight="1">
      <c r="A92" t="inlineStr">
        <is>
          <t>A 19900-2022</t>
        </is>
      </c>
      <c r="B92" s="1" t="n">
        <v>44697</v>
      </c>
      <c r="C92" s="1" t="n">
        <v>45175</v>
      </c>
      <c r="D92" t="inlineStr">
        <is>
          <t>KALMAR LÄN</t>
        </is>
      </c>
      <c r="E92" t="inlineStr">
        <is>
          <t>VÄSTERVIK</t>
        </is>
      </c>
      <c r="G92" t="n">
        <v>2.4</v>
      </c>
      <c r="H92" t="n">
        <v>1</v>
      </c>
      <c r="I92" t="n">
        <v>0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1</v>
      </c>
      <c r="R92" s="2" t="inlineStr">
        <is>
          <t>Knärot</t>
        </is>
      </c>
      <c r="S92">
        <f>HYPERLINK("https://klasma.github.io/Logging_VASTERVIK/artfynd/A 19900-2022.xlsx")</f>
        <v/>
      </c>
      <c r="T92">
        <f>HYPERLINK("https://klasma.github.io/Logging_VASTERVIK/kartor/A 19900-2022.png")</f>
        <v/>
      </c>
      <c r="U92">
        <f>HYPERLINK("https://klasma.github.io/Logging_VASTERVIK/knärot/A 19900-2022.png")</f>
        <v/>
      </c>
      <c r="V92">
        <f>HYPERLINK("https://klasma.github.io/Logging_VASTERVIK/klagomål/A 19900-2022.docx")</f>
        <v/>
      </c>
      <c r="W92">
        <f>HYPERLINK("https://klasma.github.io/Logging_VASTERVIK/klagomålsmail/A 19900-2022.docx")</f>
        <v/>
      </c>
      <c r="X92">
        <f>HYPERLINK("https://klasma.github.io/Logging_VASTERVIK/tillsyn/A 19900-2022.docx")</f>
        <v/>
      </c>
      <c r="Y92">
        <f>HYPERLINK("https://klasma.github.io/Logging_VASTERVIK/tillsynsmail/A 19900-2022.docx")</f>
        <v/>
      </c>
    </row>
    <row r="93" ht="15" customHeight="1">
      <c r="A93" t="inlineStr">
        <is>
          <t>A 26056-2022</t>
        </is>
      </c>
      <c r="B93" s="1" t="n">
        <v>44734</v>
      </c>
      <c r="C93" s="1" t="n">
        <v>45175</v>
      </c>
      <c r="D93" t="inlineStr">
        <is>
          <t>KALMAR LÄN</t>
        </is>
      </c>
      <c r="E93" t="inlineStr">
        <is>
          <t>VÄSTERVIK</t>
        </is>
      </c>
      <c r="G93" t="n">
        <v>1.1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Slåtterfibbla</t>
        </is>
      </c>
      <c r="S93">
        <f>HYPERLINK("https://klasma.github.io/Logging_VASTERVIK/artfynd/A 26056-2022.xlsx")</f>
        <v/>
      </c>
      <c r="T93">
        <f>HYPERLINK("https://klasma.github.io/Logging_VASTERVIK/kartor/A 26056-2022.png")</f>
        <v/>
      </c>
      <c r="V93">
        <f>HYPERLINK("https://klasma.github.io/Logging_VASTERVIK/klagomål/A 26056-2022.docx")</f>
        <v/>
      </c>
      <c r="W93">
        <f>HYPERLINK("https://klasma.github.io/Logging_VASTERVIK/klagomålsmail/A 26056-2022.docx")</f>
        <v/>
      </c>
      <c r="X93">
        <f>HYPERLINK("https://klasma.github.io/Logging_VASTERVIK/tillsyn/A 26056-2022.docx")</f>
        <v/>
      </c>
      <c r="Y93">
        <f>HYPERLINK("https://klasma.github.io/Logging_VASTERVIK/tillsynsmail/A 26056-2022.docx")</f>
        <v/>
      </c>
    </row>
    <row r="94" ht="15" customHeight="1">
      <c r="A94" t="inlineStr">
        <is>
          <t>A 40924-2022</t>
        </is>
      </c>
      <c r="B94" s="1" t="n">
        <v>44825</v>
      </c>
      <c r="C94" s="1" t="n">
        <v>45175</v>
      </c>
      <c r="D94" t="inlineStr">
        <is>
          <t>KALMAR LÄN</t>
        </is>
      </c>
      <c r="E94" t="inlineStr">
        <is>
          <t>VÄSTERVIK</t>
        </is>
      </c>
      <c r="F94" t="inlineStr">
        <is>
          <t>Sveaskog</t>
        </is>
      </c>
      <c r="G94" t="n">
        <v>0.5</v>
      </c>
      <c r="H94" t="n">
        <v>1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Barbastell</t>
        </is>
      </c>
      <c r="S94">
        <f>HYPERLINK("https://klasma.github.io/Logging_VASTERVIK/artfynd/A 40924-2022.xlsx")</f>
        <v/>
      </c>
      <c r="T94">
        <f>HYPERLINK("https://klasma.github.io/Logging_VASTERVIK/kartor/A 40924-2022.png")</f>
        <v/>
      </c>
      <c r="V94">
        <f>HYPERLINK("https://klasma.github.io/Logging_VASTERVIK/klagomål/A 40924-2022.docx")</f>
        <v/>
      </c>
      <c r="W94">
        <f>HYPERLINK("https://klasma.github.io/Logging_VASTERVIK/klagomålsmail/A 40924-2022.docx")</f>
        <v/>
      </c>
      <c r="X94">
        <f>HYPERLINK("https://klasma.github.io/Logging_VASTERVIK/tillsyn/A 40924-2022.docx")</f>
        <v/>
      </c>
      <c r="Y94">
        <f>HYPERLINK("https://klasma.github.io/Logging_VASTERVIK/tillsynsmail/A 40924-2022.docx")</f>
        <v/>
      </c>
    </row>
    <row r="95" ht="15" customHeight="1">
      <c r="A95" t="inlineStr">
        <is>
          <t>A 46556-2022</t>
        </is>
      </c>
      <c r="B95" s="1" t="n">
        <v>44848</v>
      </c>
      <c r="C95" s="1" t="n">
        <v>45175</v>
      </c>
      <c r="D95" t="inlineStr">
        <is>
          <t>KALMAR LÄN</t>
        </is>
      </c>
      <c r="E95" t="inlineStr">
        <is>
          <t>VÄSTERVIK</t>
        </is>
      </c>
      <c r="F95" t="inlineStr">
        <is>
          <t>Sveaskog</t>
        </is>
      </c>
      <c r="G95" t="n">
        <v>1.5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Fjällig taggsvamp s.str.</t>
        </is>
      </c>
      <c r="S95">
        <f>HYPERLINK("https://klasma.github.io/Logging_VASTERVIK/artfynd/A 46556-2022.xlsx")</f>
        <v/>
      </c>
      <c r="T95">
        <f>HYPERLINK("https://klasma.github.io/Logging_VASTERVIK/kartor/A 46556-2022.png")</f>
        <v/>
      </c>
      <c r="V95">
        <f>HYPERLINK("https://klasma.github.io/Logging_VASTERVIK/klagomål/A 46556-2022.docx")</f>
        <v/>
      </c>
      <c r="W95">
        <f>HYPERLINK("https://klasma.github.io/Logging_VASTERVIK/klagomålsmail/A 46556-2022.docx")</f>
        <v/>
      </c>
      <c r="X95">
        <f>HYPERLINK("https://klasma.github.io/Logging_VASTERVIK/tillsyn/A 46556-2022.docx")</f>
        <v/>
      </c>
      <c r="Y95">
        <f>HYPERLINK("https://klasma.github.io/Logging_VASTERVIK/tillsynsmail/A 46556-2022.docx")</f>
        <v/>
      </c>
    </row>
    <row r="96" ht="15" customHeight="1">
      <c r="A96" t="inlineStr">
        <is>
          <t>A 46559-2022</t>
        </is>
      </c>
      <c r="B96" s="1" t="n">
        <v>44848</v>
      </c>
      <c r="C96" s="1" t="n">
        <v>45175</v>
      </c>
      <c r="D96" t="inlineStr">
        <is>
          <t>KALMAR LÄN</t>
        </is>
      </c>
      <c r="E96" t="inlineStr">
        <is>
          <t>VÄSTERVIK</t>
        </is>
      </c>
      <c r="F96" t="inlineStr">
        <is>
          <t>Sveaskog</t>
        </is>
      </c>
      <c r="G96" t="n">
        <v>2.2</v>
      </c>
      <c r="H96" t="n">
        <v>1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Blåsippa</t>
        </is>
      </c>
      <c r="S96">
        <f>HYPERLINK("https://klasma.github.io/Logging_VASTERVIK/artfynd/A 46559-2022.xlsx")</f>
        <v/>
      </c>
      <c r="T96">
        <f>HYPERLINK("https://klasma.github.io/Logging_VASTERVIK/kartor/A 46559-2022.png")</f>
        <v/>
      </c>
      <c r="V96">
        <f>HYPERLINK("https://klasma.github.io/Logging_VASTERVIK/klagomål/A 46559-2022.docx")</f>
        <v/>
      </c>
      <c r="W96">
        <f>HYPERLINK("https://klasma.github.io/Logging_VASTERVIK/klagomålsmail/A 46559-2022.docx")</f>
        <v/>
      </c>
      <c r="X96">
        <f>HYPERLINK("https://klasma.github.io/Logging_VASTERVIK/tillsyn/A 46559-2022.docx")</f>
        <v/>
      </c>
      <c r="Y96">
        <f>HYPERLINK("https://klasma.github.io/Logging_VASTERVIK/tillsynsmail/A 46559-2022.docx")</f>
        <v/>
      </c>
    </row>
    <row r="97" ht="15" customHeight="1">
      <c r="A97" t="inlineStr">
        <is>
          <t>A 51024-2022</t>
        </is>
      </c>
      <c r="B97" s="1" t="n">
        <v>44867</v>
      </c>
      <c r="C97" s="1" t="n">
        <v>45175</v>
      </c>
      <c r="D97" t="inlineStr">
        <is>
          <t>KALMAR LÄN</t>
        </is>
      </c>
      <c r="E97" t="inlineStr">
        <is>
          <t>VÄSTERVIK</t>
        </is>
      </c>
      <c r="F97" t="inlineStr">
        <is>
          <t>Holmen skog AB</t>
        </is>
      </c>
      <c r="G97" t="n">
        <v>7.6</v>
      </c>
      <c r="H97" t="n">
        <v>1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Talltita</t>
        </is>
      </c>
      <c r="S97">
        <f>HYPERLINK("https://klasma.github.io/Logging_VASTERVIK/artfynd/A 51024-2022.xlsx")</f>
        <v/>
      </c>
      <c r="T97">
        <f>HYPERLINK("https://klasma.github.io/Logging_VASTERVIK/kartor/A 51024-2022.png")</f>
        <v/>
      </c>
      <c r="V97">
        <f>HYPERLINK("https://klasma.github.io/Logging_VASTERVIK/klagomål/A 51024-2022.docx")</f>
        <v/>
      </c>
      <c r="W97">
        <f>HYPERLINK("https://klasma.github.io/Logging_VASTERVIK/klagomålsmail/A 51024-2022.docx")</f>
        <v/>
      </c>
      <c r="X97">
        <f>HYPERLINK("https://klasma.github.io/Logging_VASTERVIK/tillsyn/A 51024-2022.docx")</f>
        <v/>
      </c>
      <c r="Y97">
        <f>HYPERLINK("https://klasma.github.io/Logging_VASTERVIK/tillsynsmail/A 51024-2022.docx")</f>
        <v/>
      </c>
    </row>
    <row r="98" ht="15" customHeight="1">
      <c r="A98" t="inlineStr">
        <is>
          <t>A 54193-2022</t>
        </is>
      </c>
      <c r="B98" s="1" t="n">
        <v>44881</v>
      </c>
      <c r="C98" s="1" t="n">
        <v>45175</v>
      </c>
      <c r="D98" t="inlineStr">
        <is>
          <t>KALMAR LÄN</t>
        </is>
      </c>
      <c r="E98" t="inlineStr">
        <is>
          <t>VÄSTERVIK</t>
        </is>
      </c>
      <c r="G98" t="n">
        <v>1.7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Murgröna</t>
        </is>
      </c>
      <c r="S98">
        <f>HYPERLINK("https://klasma.github.io/Logging_VASTERVIK/artfynd/A 54193-2022.xlsx")</f>
        <v/>
      </c>
      <c r="T98">
        <f>HYPERLINK("https://klasma.github.io/Logging_VASTERVIK/kartor/A 54193-2022.png")</f>
        <v/>
      </c>
      <c r="U98">
        <f>HYPERLINK("https://klasma.github.io/Logging_VASTERVIK/knärot/A 54193-2022.png")</f>
        <v/>
      </c>
      <c r="V98">
        <f>HYPERLINK("https://klasma.github.io/Logging_VASTERVIK/klagomål/A 54193-2022.docx")</f>
        <v/>
      </c>
      <c r="W98">
        <f>HYPERLINK("https://klasma.github.io/Logging_VASTERVIK/klagomålsmail/A 54193-2022.docx")</f>
        <v/>
      </c>
      <c r="X98">
        <f>HYPERLINK("https://klasma.github.io/Logging_VASTERVIK/tillsyn/A 54193-2022.docx")</f>
        <v/>
      </c>
      <c r="Y98">
        <f>HYPERLINK("https://klasma.github.io/Logging_VASTERVIK/tillsynsmail/A 54193-2022.docx")</f>
        <v/>
      </c>
    </row>
    <row r="99" ht="15" customHeight="1">
      <c r="A99" t="inlineStr">
        <is>
          <t>A 59178-2022</t>
        </is>
      </c>
      <c r="B99" s="1" t="n">
        <v>44904</v>
      </c>
      <c r="C99" s="1" t="n">
        <v>45175</v>
      </c>
      <c r="D99" t="inlineStr">
        <is>
          <t>KALMAR LÄN</t>
        </is>
      </c>
      <c r="E99" t="inlineStr">
        <is>
          <t>VÄSTERVIK</t>
        </is>
      </c>
      <c r="G99" t="n">
        <v>3.3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Tallticka</t>
        </is>
      </c>
      <c r="S99">
        <f>HYPERLINK("https://klasma.github.io/Logging_VASTERVIK/artfynd/A 59178-2022.xlsx")</f>
        <v/>
      </c>
      <c r="T99">
        <f>HYPERLINK("https://klasma.github.io/Logging_VASTERVIK/kartor/A 59178-2022.png")</f>
        <v/>
      </c>
      <c r="V99">
        <f>HYPERLINK("https://klasma.github.io/Logging_VASTERVIK/klagomål/A 59178-2022.docx")</f>
        <v/>
      </c>
      <c r="W99">
        <f>HYPERLINK("https://klasma.github.io/Logging_VASTERVIK/klagomålsmail/A 59178-2022.docx")</f>
        <v/>
      </c>
      <c r="X99">
        <f>HYPERLINK("https://klasma.github.io/Logging_VASTERVIK/tillsyn/A 59178-2022.docx")</f>
        <v/>
      </c>
      <c r="Y99">
        <f>HYPERLINK("https://klasma.github.io/Logging_VASTERVIK/tillsynsmail/A 59178-2022.docx")</f>
        <v/>
      </c>
    </row>
    <row r="100" ht="15" customHeight="1">
      <c r="A100" t="inlineStr">
        <is>
          <t>A 804-2023</t>
        </is>
      </c>
      <c r="B100" s="1" t="n">
        <v>44931</v>
      </c>
      <c r="C100" s="1" t="n">
        <v>45175</v>
      </c>
      <c r="D100" t="inlineStr">
        <is>
          <t>KALMAR LÄN</t>
        </is>
      </c>
      <c r="E100" t="inlineStr">
        <is>
          <t>VÄSTERVIK</t>
        </is>
      </c>
      <c r="F100" t="inlineStr">
        <is>
          <t>Holmen skog AB</t>
        </is>
      </c>
      <c r="G100" t="n">
        <v>5.2</v>
      </c>
      <c r="H100" t="n">
        <v>0</v>
      </c>
      <c r="I100" t="n">
        <v>0</v>
      </c>
      <c r="J100" t="n">
        <v>0</v>
      </c>
      <c r="K100" t="n">
        <v>1</v>
      </c>
      <c r="L100" t="n">
        <v>0</v>
      </c>
      <c r="M100" t="n">
        <v>0</v>
      </c>
      <c r="N100" t="n">
        <v>0</v>
      </c>
      <c r="O100" t="n">
        <v>1</v>
      </c>
      <c r="P100" t="n">
        <v>1</v>
      </c>
      <c r="Q100" t="n">
        <v>1</v>
      </c>
      <c r="R100" s="2" t="inlineStr">
        <is>
          <t>Violett fingersvamp</t>
        </is>
      </c>
      <c r="S100">
        <f>HYPERLINK("https://klasma.github.io/Logging_VASTERVIK/artfynd/A 804-2023.xlsx")</f>
        <v/>
      </c>
      <c r="T100">
        <f>HYPERLINK("https://klasma.github.io/Logging_VASTERVIK/kartor/A 804-2023.png")</f>
        <v/>
      </c>
      <c r="V100">
        <f>HYPERLINK("https://klasma.github.io/Logging_VASTERVIK/klagomål/A 804-2023.docx")</f>
        <v/>
      </c>
      <c r="W100">
        <f>HYPERLINK("https://klasma.github.io/Logging_VASTERVIK/klagomålsmail/A 804-2023.docx")</f>
        <v/>
      </c>
      <c r="X100">
        <f>HYPERLINK("https://klasma.github.io/Logging_VASTERVIK/tillsyn/A 804-2023.docx")</f>
        <v/>
      </c>
      <c r="Y100">
        <f>HYPERLINK("https://klasma.github.io/Logging_VASTERVIK/tillsynsmail/A 804-2023.docx")</f>
        <v/>
      </c>
    </row>
    <row r="101" ht="15" customHeight="1">
      <c r="A101" t="inlineStr">
        <is>
          <t>A 975-2023</t>
        </is>
      </c>
      <c r="B101" s="1" t="n">
        <v>44935</v>
      </c>
      <c r="C101" s="1" t="n">
        <v>45175</v>
      </c>
      <c r="D101" t="inlineStr">
        <is>
          <t>KALMAR LÄN</t>
        </is>
      </c>
      <c r="E101" t="inlineStr">
        <is>
          <t>VÄSTERVIK</t>
        </is>
      </c>
      <c r="G101" t="n">
        <v>1.7</v>
      </c>
      <c r="H101" t="n">
        <v>1</v>
      </c>
      <c r="I101" t="n">
        <v>0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1</v>
      </c>
      <c r="R101" s="2" t="inlineStr">
        <is>
          <t>Läderbagge</t>
        </is>
      </c>
      <c r="S101">
        <f>HYPERLINK("https://klasma.github.io/Logging_VASTERVIK/artfynd/A 975-2023.xlsx")</f>
        <v/>
      </c>
      <c r="T101">
        <f>HYPERLINK("https://klasma.github.io/Logging_VASTERVIK/kartor/A 975-2023.png")</f>
        <v/>
      </c>
      <c r="V101">
        <f>HYPERLINK("https://klasma.github.io/Logging_VASTERVIK/klagomål/A 975-2023.docx")</f>
        <v/>
      </c>
      <c r="W101">
        <f>HYPERLINK("https://klasma.github.io/Logging_VASTERVIK/klagomålsmail/A 975-2023.docx")</f>
        <v/>
      </c>
      <c r="X101">
        <f>HYPERLINK("https://klasma.github.io/Logging_VASTERVIK/tillsyn/A 975-2023.docx")</f>
        <v/>
      </c>
      <c r="Y101">
        <f>HYPERLINK("https://klasma.github.io/Logging_VASTERVIK/tillsynsmail/A 975-2023.docx")</f>
        <v/>
      </c>
    </row>
    <row r="102" ht="15" customHeight="1">
      <c r="A102" t="inlineStr">
        <is>
          <t>A 1024-2023</t>
        </is>
      </c>
      <c r="B102" s="1" t="n">
        <v>44935</v>
      </c>
      <c r="C102" s="1" t="n">
        <v>45175</v>
      </c>
      <c r="D102" t="inlineStr">
        <is>
          <t>KALMAR LÄN</t>
        </is>
      </c>
      <c r="E102" t="inlineStr">
        <is>
          <t>VÄSTERVIK</t>
        </is>
      </c>
      <c r="F102" t="inlineStr">
        <is>
          <t>Holmen skog AB</t>
        </is>
      </c>
      <c r="G102" t="n">
        <v>1.9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Ekticka</t>
        </is>
      </c>
      <c r="S102">
        <f>HYPERLINK("https://klasma.github.io/Logging_VASTERVIK/artfynd/A 1024-2023.xlsx")</f>
        <v/>
      </c>
      <c r="T102">
        <f>HYPERLINK("https://klasma.github.io/Logging_VASTERVIK/kartor/A 1024-2023.png")</f>
        <v/>
      </c>
      <c r="V102">
        <f>HYPERLINK("https://klasma.github.io/Logging_VASTERVIK/klagomål/A 1024-2023.docx")</f>
        <v/>
      </c>
      <c r="W102">
        <f>HYPERLINK("https://klasma.github.io/Logging_VASTERVIK/klagomålsmail/A 1024-2023.docx")</f>
        <v/>
      </c>
      <c r="X102">
        <f>HYPERLINK("https://klasma.github.io/Logging_VASTERVIK/tillsyn/A 1024-2023.docx")</f>
        <v/>
      </c>
      <c r="Y102">
        <f>HYPERLINK("https://klasma.github.io/Logging_VASTERVIK/tillsynsmail/A 1024-2023.docx")</f>
        <v/>
      </c>
    </row>
    <row r="103" ht="15" customHeight="1">
      <c r="A103" t="inlineStr">
        <is>
          <t>A 11729-2023</t>
        </is>
      </c>
      <c r="B103" s="1" t="n">
        <v>44994</v>
      </c>
      <c r="C103" s="1" t="n">
        <v>45175</v>
      </c>
      <c r="D103" t="inlineStr">
        <is>
          <t>KALMAR LÄN</t>
        </is>
      </c>
      <c r="E103" t="inlineStr">
        <is>
          <t>VÄSTERVIK</t>
        </is>
      </c>
      <c r="F103" t="inlineStr">
        <is>
          <t>Sveaskog</t>
        </is>
      </c>
      <c r="G103" t="n">
        <v>4.1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Bredbrämad bastardsvärmare</t>
        </is>
      </c>
      <c r="S103">
        <f>HYPERLINK("https://klasma.github.io/Logging_VASTERVIK/artfynd/A 11729-2023.xlsx")</f>
        <v/>
      </c>
      <c r="T103">
        <f>HYPERLINK("https://klasma.github.io/Logging_VASTERVIK/kartor/A 11729-2023.png")</f>
        <v/>
      </c>
      <c r="V103">
        <f>HYPERLINK("https://klasma.github.io/Logging_VASTERVIK/klagomål/A 11729-2023.docx")</f>
        <v/>
      </c>
      <c r="W103">
        <f>HYPERLINK("https://klasma.github.io/Logging_VASTERVIK/klagomålsmail/A 11729-2023.docx")</f>
        <v/>
      </c>
      <c r="X103">
        <f>HYPERLINK("https://klasma.github.io/Logging_VASTERVIK/tillsyn/A 11729-2023.docx")</f>
        <v/>
      </c>
      <c r="Y103">
        <f>HYPERLINK("https://klasma.github.io/Logging_VASTERVIK/tillsynsmail/A 11729-2023.docx")</f>
        <v/>
      </c>
    </row>
    <row r="104" ht="15" customHeight="1">
      <c r="A104" t="inlineStr">
        <is>
          <t>A 14720-2023</t>
        </is>
      </c>
      <c r="B104" s="1" t="n">
        <v>45014</v>
      </c>
      <c r="C104" s="1" t="n">
        <v>45175</v>
      </c>
      <c r="D104" t="inlineStr">
        <is>
          <t>KALMAR LÄN</t>
        </is>
      </c>
      <c r="E104" t="inlineStr">
        <is>
          <t>VÄSTERVIK</t>
        </is>
      </c>
      <c r="G104" t="n">
        <v>3.5</v>
      </c>
      <c r="H104" t="n">
        <v>1</v>
      </c>
      <c r="I104" t="n">
        <v>0</v>
      </c>
      <c r="J104" t="n">
        <v>0</v>
      </c>
      <c r="K104" t="n">
        <v>1</v>
      </c>
      <c r="L104" t="n">
        <v>0</v>
      </c>
      <c r="M104" t="n">
        <v>0</v>
      </c>
      <c r="N104" t="n">
        <v>0</v>
      </c>
      <c r="O104" t="n">
        <v>1</v>
      </c>
      <c r="P104" t="n">
        <v>1</v>
      </c>
      <c r="Q104" t="n">
        <v>1</v>
      </c>
      <c r="R104" s="2" t="inlineStr">
        <is>
          <t>Knärot</t>
        </is>
      </c>
      <c r="S104">
        <f>HYPERLINK("https://klasma.github.io/Logging_VASTERVIK/artfynd/A 14720-2023.xlsx")</f>
        <v/>
      </c>
      <c r="T104">
        <f>HYPERLINK("https://klasma.github.io/Logging_VASTERVIK/kartor/A 14720-2023.png")</f>
        <v/>
      </c>
      <c r="U104">
        <f>HYPERLINK("https://klasma.github.io/Logging_VASTERVIK/knärot/A 14720-2023.png")</f>
        <v/>
      </c>
      <c r="V104">
        <f>HYPERLINK("https://klasma.github.io/Logging_VASTERVIK/klagomål/A 14720-2023.docx")</f>
        <v/>
      </c>
      <c r="W104">
        <f>HYPERLINK("https://klasma.github.io/Logging_VASTERVIK/klagomålsmail/A 14720-2023.docx")</f>
        <v/>
      </c>
      <c r="X104">
        <f>HYPERLINK("https://klasma.github.io/Logging_VASTERVIK/tillsyn/A 14720-2023.docx")</f>
        <v/>
      </c>
      <c r="Y104">
        <f>HYPERLINK("https://klasma.github.io/Logging_VASTERVIK/tillsynsmail/A 14720-2023.docx")</f>
        <v/>
      </c>
    </row>
    <row r="105" ht="15" customHeight="1">
      <c r="A105" t="inlineStr">
        <is>
          <t>A 16622-2023</t>
        </is>
      </c>
      <c r="B105" s="1" t="n">
        <v>45030</v>
      </c>
      <c r="C105" s="1" t="n">
        <v>45175</v>
      </c>
      <c r="D105" t="inlineStr">
        <is>
          <t>KALMAR LÄN</t>
        </is>
      </c>
      <c r="E105" t="inlineStr">
        <is>
          <t>VÄSTERVIK</t>
        </is>
      </c>
      <c r="G105" t="n">
        <v>1.9</v>
      </c>
      <c r="H105" t="n">
        <v>1</v>
      </c>
      <c r="I105" t="n">
        <v>0</v>
      </c>
      <c r="J105" t="n">
        <v>0</v>
      </c>
      <c r="K105" t="n">
        <v>1</v>
      </c>
      <c r="L105" t="n">
        <v>0</v>
      </c>
      <c r="M105" t="n">
        <v>0</v>
      </c>
      <c r="N105" t="n">
        <v>0</v>
      </c>
      <c r="O105" t="n">
        <v>1</v>
      </c>
      <c r="P105" t="n">
        <v>1</v>
      </c>
      <c r="Q105" t="n">
        <v>1</v>
      </c>
      <c r="R105" s="2" t="inlineStr">
        <is>
          <t>Knärot</t>
        </is>
      </c>
      <c r="S105">
        <f>HYPERLINK("https://klasma.github.io/Logging_VASTERVIK/artfynd/A 16622-2023.xlsx")</f>
        <v/>
      </c>
      <c r="T105">
        <f>HYPERLINK("https://klasma.github.io/Logging_VASTERVIK/kartor/A 16622-2023.png")</f>
        <v/>
      </c>
      <c r="U105">
        <f>HYPERLINK("https://klasma.github.io/Logging_VASTERVIK/knärot/A 16622-2023.png")</f>
        <v/>
      </c>
      <c r="V105">
        <f>HYPERLINK("https://klasma.github.io/Logging_VASTERVIK/klagomål/A 16622-2023.docx")</f>
        <v/>
      </c>
      <c r="W105">
        <f>HYPERLINK("https://klasma.github.io/Logging_VASTERVIK/klagomålsmail/A 16622-2023.docx")</f>
        <v/>
      </c>
      <c r="X105">
        <f>HYPERLINK("https://klasma.github.io/Logging_VASTERVIK/tillsyn/A 16622-2023.docx")</f>
        <v/>
      </c>
      <c r="Y105">
        <f>HYPERLINK("https://klasma.github.io/Logging_VASTERVIK/tillsynsmail/A 16622-2023.docx")</f>
        <v/>
      </c>
    </row>
    <row r="106" ht="15" customHeight="1">
      <c r="A106" t="inlineStr">
        <is>
          <t>A 21828-2023</t>
        </is>
      </c>
      <c r="B106" s="1" t="n">
        <v>45068</v>
      </c>
      <c r="C106" s="1" t="n">
        <v>45175</v>
      </c>
      <c r="D106" t="inlineStr">
        <is>
          <t>KALMAR LÄN</t>
        </is>
      </c>
      <c r="E106" t="inlineStr">
        <is>
          <t>VÄSTERVIK</t>
        </is>
      </c>
      <c r="G106" t="n">
        <v>0.7</v>
      </c>
      <c r="H106" t="n">
        <v>0</v>
      </c>
      <c r="I106" t="n">
        <v>1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1</v>
      </c>
      <c r="R106" s="2" t="inlineStr">
        <is>
          <t>Grönpyrola</t>
        </is>
      </c>
      <c r="S106">
        <f>HYPERLINK("https://klasma.github.io/Logging_VASTERVIK/artfynd/A 21828-2023.xlsx")</f>
        <v/>
      </c>
      <c r="T106">
        <f>HYPERLINK("https://klasma.github.io/Logging_VASTERVIK/kartor/A 21828-2023.png")</f>
        <v/>
      </c>
      <c r="V106">
        <f>HYPERLINK("https://klasma.github.io/Logging_VASTERVIK/klagomål/A 21828-2023.docx")</f>
        <v/>
      </c>
      <c r="W106">
        <f>HYPERLINK("https://klasma.github.io/Logging_VASTERVIK/klagomålsmail/A 21828-2023.docx")</f>
        <v/>
      </c>
      <c r="X106">
        <f>HYPERLINK("https://klasma.github.io/Logging_VASTERVIK/tillsyn/A 21828-2023.docx")</f>
        <v/>
      </c>
      <c r="Y106">
        <f>HYPERLINK("https://klasma.github.io/Logging_VASTERVIK/tillsynsmail/A 21828-2023.docx")</f>
        <v/>
      </c>
    </row>
    <row r="107" ht="15" customHeight="1">
      <c r="A107" t="inlineStr">
        <is>
          <t>A 25433-2023</t>
        </is>
      </c>
      <c r="B107" s="1" t="n">
        <v>45089</v>
      </c>
      <c r="C107" s="1" t="n">
        <v>45175</v>
      </c>
      <c r="D107" t="inlineStr">
        <is>
          <t>KALMAR LÄN</t>
        </is>
      </c>
      <c r="E107" t="inlineStr">
        <is>
          <t>VÄSTERVIK</t>
        </is>
      </c>
      <c r="G107" t="n">
        <v>2.3</v>
      </c>
      <c r="H107" t="n">
        <v>1</v>
      </c>
      <c r="I107" t="n">
        <v>0</v>
      </c>
      <c r="J107" t="n">
        <v>0</v>
      </c>
      <c r="K107" t="n">
        <v>1</v>
      </c>
      <c r="L107" t="n">
        <v>0</v>
      </c>
      <c r="M107" t="n">
        <v>0</v>
      </c>
      <c r="N107" t="n">
        <v>0</v>
      </c>
      <c r="O107" t="n">
        <v>1</v>
      </c>
      <c r="P107" t="n">
        <v>1</v>
      </c>
      <c r="Q107" t="n">
        <v>1</v>
      </c>
      <c r="R107" s="2" t="inlineStr">
        <is>
          <t>Knärot</t>
        </is>
      </c>
      <c r="S107">
        <f>HYPERLINK("https://klasma.github.io/Logging_VASTERVIK/artfynd/A 25433-2023.xlsx")</f>
        <v/>
      </c>
      <c r="T107">
        <f>HYPERLINK("https://klasma.github.io/Logging_VASTERVIK/kartor/A 25433-2023.png")</f>
        <v/>
      </c>
      <c r="U107">
        <f>HYPERLINK("https://klasma.github.io/Logging_VASTERVIK/knärot/A 25433-2023.png")</f>
        <v/>
      </c>
      <c r="V107">
        <f>HYPERLINK("https://klasma.github.io/Logging_VASTERVIK/klagomål/A 25433-2023.docx")</f>
        <v/>
      </c>
      <c r="W107">
        <f>HYPERLINK("https://klasma.github.io/Logging_VASTERVIK/klagomålsmail/A 25433-2023.docx")</f>
        <v/>
      </c>
      <c r="X107">
        <f>HYPERLINK("https://klasma.github.io/Logging_VASTERVIK/tillsyn/A 25433-2023.docx")</f>
        <v/>
      </c>
      <c r="Y107">
        <f>HYPERLINK("https://klasma.github.io/Logging_VASTERVIK/tillsynsmail/A 25433-2023.docx")</f>
        <v/>
      </c>
    </row>
    <row r="108" ht="15" customHeight="1">
      <c r="A108" t="inlineStr">
        <is>
          <t>A 25436-2023</t>
        </is>
      </c>
      <c r="B108" s="1" t="n">
        <v>45089</v>
      </c>
      <c r="C108" s="1" t="n">
        <v>45175</v>
      </c>
      <c r="D108" t="inlineStr">
        <is>
          <t>KALMAR LÄN</t>
        </is>
      </c>
      <c r="E108" t="inlineStr">
        <is>
          <t>VÄSTERVIK</t>
        </is>
      </c>
      <c r="G108" t="n">
        <v>1.6</v>
      </c>
      <c r="H108" t="n">
        <v>1</v>
      </c>
      <c r="I108" t="n">
        <v>0</v>
      </c>
      <c r="J108" t="n">
        <v>0</v>
      </c>
      <c r="K108" t="n">
        <v>1</v>
      </c>
      <c r="L108" t="n">
        <v>0</v>
      </c>
      <c r="M108" t="n">
        <v>0</v>
      </c>
      <c r="N108" t="n">
        <v>0</v>
      </c>
      <c r="O108" t="n">
        <v>1</v>
      </c>
      <c r="P108" t="n">
        <v>1</v>
      </c>
      <c r="Q108" t="n">
        <v>1</v>
      </c>
      <c r="R108" s="2" t="inlineStr">
        <is>
          <t>Knärot</t>
        </is>
      </c>
      <c r="S108">
        <f>HYPERLINK("https://klasma.github.io/Logging_VASTERVIK/artfynd/A 25436-2023.xlsx")</f>
        <v/>
      </c>
      <c r="T108">
        <f>HYPERLINK("https://klasma.github.io/Logging_VASTERVIK/kartor/A 25436-2023.png")</f>
        <v/>
      </c>
      <c r="U108">
        <f>HYPERLINK("https://klasma.github.io/Logging_VASTERVIK/knärot/A 25436-2023.png")</f>
        <v/>
      </c>
      <c r="V108">
        <f>HYPERLINK("https://klasma.github.io/Logging_VASTERVIK/klagomål/A 25436-2023.docx")</f>
        <v/>
      </c>
      <c r="W108">
        <f>HYPERLINK("https://klasma.github.io/Logging_VASTERVIK/klagomålsmail/A 25436-2023.docx")</f>
        <v/>
      </c>
      <c r="X108">
        <f>HYPERLINK("https://klasma.github.io/Logging_VASTERVIK/tillsyn/A 25436-2023.docx")</f>
        <v/>
      </c>
      <c r="Y108">
        <f>HYPERLINK("https://klasma.github.io/Logging_VASTERVIK/tillsynsmail/A 25436-2023.docx")</f>
        <v/>
      </c>
    </row>
    <row r="109" ht="15" customHeight="1">
      <c r="A109" t="inlineStr">
        <is>
          <t>A 25435-2023</t>
        </is>
      </c>
      <c r="B109" s="1" t="n">
        <v>45089</v>
      </c>
      <c r="C109" s="1" t="n">
        <v>45175</v>
      </c>
      <c r="D109" t="inlineStr">
        <is>
          <t>KALMAR LÄN</t>
        </is>
      </c>
      <c r="E109" t="inlineStr">
        <is>
          <t>VÄSTERVIK</t>
        </is>
      </c>
      <c r="G109" t="n">
        <v>1.6</v>
      </c>
      <c r="H109" t="n">
        <v>1</v>
      </c>
      <c r="I109" t="n">
        <v>0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1</v>
      </c>
      <c r="R109" s="2" t="inlineStr">
        <is>
          <t>Knärot</t>
        </is>
      </c>
      <c r="S109">
        <f>HYPERLINK("https://klasma.github.io/Logging_VASTERVIK/artfynd/A 25435-2023.xlsx")</f>
        <v/>
      </c>
      <c r="T109">
        <f>HYPERLINK("https://klasma.github.io/Logging_VASTERVIK/kartor/A 25435-2023.png")</f>
        <v/>
      </c>
      <c r="U109">
        <f>HYPERLINK("https://klasma.github.io/Logging_VASTERVIK/knärot/A 25435-2023.png")</f>
        <v/>
      </c>
      <c r="V109">
        <f>HYPERLINK("https://klasma.github.io/Logging_VASTERVIK/klagomål/A 25435-2023.docx")</f>
        <v/>
      </c>
      <c r="W109">
        <f>HYPERLINK("https://klasma.github.io/Logging_VASTERVIK/klagomålsmail/A 25435-2023.docx")</f>
        <v/>
      </c>
      <c r="X109">
        <f>HYPERLINK("https://klasma.github.io/Logging_VASTERVIK/tillsyn/A 25435-2023.docx")</f>
        <v/>
      </c>
      <c r="Y109">
        <f>HYPERLINK("https://klasma.github.io/Logging_VASTERVIK/tillsynsmail/A 25435-2023.docx")</f>
        <v/>
      </c>
    </row>
    <row r="110" ht="15" customHeight="1">
      <c r="A110" t="inlineStr">
        <is>
          <t>A 25563-2023</t>
        </is>
      </c>
      <c r="B110" s="1" t="n">
        <v>45089</v>
      </c>
      <c r="C110" s="1" t="n">
        <v>45175</v>
      </c>
      <c r="D110" t="inlineStr">
        <is>
          <t>KALMAR LÄN</t>
        </is>
      </c>
      <c r="E110" t="inlineStr">
        <is>
          <t>VÄSTERVIK</t>
        </is>
      </c>
      <c r="G110" t="n">
        <v>1.6</v>
      </c>
      <c r="H110" t="n">
        <v>1</v>
      </c>
      <c r="I110" t="n">
        <v>0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1</v>
      </c>
      <c r="R110" s="2" t="inlineStr">
        <is>
          <t>Talltita</t>
        </is>
      </c>
      <c r="S110">
        <f>HYPERLINK("https://klasma.github.io/Logging_VASTERVIK/artfynd/A 25563-2023.xlsx")</f>
        <v/>
      </c>
      <c r="T110">
        <f>HYPERLINK("https://klasma.github.io/Logging_VASTERVIK/kartor/A 25563-2023.png")</f>
        <v/>
      </c>
      <c r="V110">
        <f>HYPERLINK("https://klasma.github.io/Logging_VASTERVIK/klagomål/A 25563-2023.docx")</f>
        <v/>
      </c>
      <c r="W110">
        <f>HYPERLINK("https://klasma.github.io/Logging_VASTERVIK/klagomålsmail/A 25563-2023.docx")</f>
        <v/>
      </c>
      <c r="X110">
        <f>HYPERLINK("https://klasma.github.io/Logging_VASTERVIK/tillsyn/A 25563-2023.docx")</f>
        <v/>
      </c>
      <c r="Y110">
        <f>HYPERLINK("https://klasma.github.io/Logging_VASTERVIK/tillsynsmail/A 25563-2023.docx")</f>
        <v/>
      </c>
    </row>
    <row r="111" ht="15" customHeight="1">
      <c r="A111" t="inlineStr">
        <is>
          <t>A 26278-2023</t>
        </is>
      </c>
      <c r="B111" s="1" t="n">
        <v>45091</v>
      </c>
      <c r="C111" s="1" t="n">
        <v>45175</v>
      </c>
      <c r="D111" t="inlineStr">
        <is>
          <t>KALMAR LÄN</t>
        </is>
      </c>
      <c r="E111" t="inlineStr">
        <is>
          <t>VÄSTERVIK</t>
        </is>
      </c>
      <c r="G111" t="n">
        <v>3.1</v>
      </c>
      <c r="H111" t="n">
        <v>1</v>
      </c>
      <c r="I111" t="n">
        <v>0</v>
      </c>
      <c r="J111" t="n">
        <v>0</v>
      </c>
      <c r="K111" t="n">
        <v>1</v>
      </c>
      <c r="L111" t="n">
        <v>0</v>
      </c>
      <c r="M111" t="n">
        <v>0</v>
      </c>
      <c r="N111" t="n">
        <v>0</v>
      </c>
      <c r="O111" t="n">
        <v>1</v>
      </c>
      <c r="P111" t="n">
        <v>1</v>
      </c>
      <c r="Q111" t="n">
        <v>1</v>
      </c>
      <c r="R111" s="2" t="inlineStr">
        <is>
          <t>Knärot</t>
        </is>
      </c>
      <c r="S111">
        <f>HYPERLINK("https://klasma.github.io/Logging_VASTERVIK/artfynd/A 26278-2023.xlsx")</f>
        <v/>
      </c>
      <c r="T111">
        <f>HYPERLINK("https://klasma.github.io/Logging_VASTERVIK/kartor/A 26278-2023.png")</f>
        <v/>
      </c>
      <c r="U111">
        <f>HYPERLINK("https://klasma.github.io/Logging_VASTERVIK/knärot/A 26278-2023.png")</f>
        <v/>
      </c>
      <c r="V111">
        <f>HYPERLINK("https://klasma.github.io/Logging_VASTERVIK/klagomål/A 26278-2023.docx")</f>
        <v/>
      </c>
      <c r="W111">
        <f>HYPERLINK("https://klasma.github.io/Logging_VASTERVIK/klagomålsmail/A 26278-2023.docx")</f>
        <v/>
      </c>
      <c r="X111">
        <f>HYPERLINK("https://klasma.github.io/Logging_VASTERVIK/tillsyn/A 26278-2023.docx")</f>
        <v/>
      </c>
      <c r="Y111">
        <f>HYPERLINK("https://klasma.github.io/Logging_VASTERVIK/tillsynsmail/A 26278-2023.docx")</f>
        <v/>
      </c>
    </row>
    <row r="112" ht="15" customHeight="1">
      <c r="A112" t="inlineStr">
        <is>
          <t>A 32415-2023</t>
        </is>
      </c>
      <c r="B112" s="1" t="n">
        <v>45110</v>
      </c>
      <c r="C112" s="1" t="n">
        <v>45175</v>
      </c>
      <c r="D112" t="inlineStr">
        <is>
          <t>KALMAR LÄN</t>
        </is>
      </c>
      <c r="E112" t="inlineStr">
        <is>
          <t>VÄSTERVIK</t>
        </is>
      </c>
      <c r="G112" t="n">
        <v>1.7</v>
      </c>
      <c r="H112" t="n">
        <v>1</v>
      </c>
      <c r="I112" t="n">
        <v>0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1</v>
      </c>
      <c r="R112" s="2" t="inlineStr">
        <is>
          <t>Knärot</t>
        </is>
      </c>
      <c r="S112">
        <f>HYPERLINK("https://klasma.github.io/Logging_VASTERVIK/artfynd/A 32415-2023.xlsx")</f>
        <v/>
      </c>
      <c r="T112">
        <f>HYPERLINK("https://klasma.github.io/Logging_VASTERVIK/kartor/A 32415-2023.png")</f>
        <v/>
      </c>
      <c r="U112">
        <f>HYPERLINK("https://klasma.github.io/Logging_VASTERVIK/knärot/A 32415-2023.png")</f>
        <v/>
      </c>
      <c r="V112">
        <f>HYPERLINK("https://klasma.github.io/Logging_VASTERVIK/klagomål/A 32415-2023.docx")</f>
        <v/>
      </c>
      <c r="W112">
        <f>HYPERLINK("https://klasma.github.io/Logging_VASTERVIK/klagomålsmail/A 32415-2023.docx")</f>
        <v/>
      </c>
      <c r="X112">
        <f>HYPERLINK("https://klasma.github.io/Logging_VASTERVIK/tillsyn/A 32415-2023.docx")</f>
        <v/>
      </c>
      <c r="Y112">
        <f>HYPERLINK("https://klasma.github.io/Logging_VASTERVIK/tillsynsmail/A 32415-2023.docx")</f>
        <v/>
      </c>
    </row>
    <row r="113" ht="15" customHeight="1">
      <c r="A113" t="inlineStr">
        <is>
          <t>A 32653-2023</t>
        </is>
      </c>
      <c r="B113" s="1" t="n">
        <v>45121</v>
      </c>
      <c r="C113" s="1" t="n">
        <v>45175</v>
      </c>
      <c r="D113" t="inlineStr">
        <is>
          <t>KALMAR LÄN</t>
        </is>
      </c>
      <c r="E113" t="inlineStr">
        <is>
          <t>VÄSTERVIK</t>
        </is>
      </c>
      <c r="G113" t="n">
        <v>1.4</v>
      </c>
      <c r="H113" t="n">
        <v>1</v>
      </c>
      <c r="I113" t="n">
        <v>0</v>
      </c>
      <c r="J113" t="n">
        <v>0</v>
      </c>
      <c r="K113" t="n">
        <v>1</v>
      </c>
      <c r="L113" t="n">
        <v>0</v>
      </c>
      <c r="M113" t="n">
        <v>0</v>
      </c>
      <c r="N113" t="n">
        <v>0</v>
      </c>
      <c r="O113" t="n">
        <v>1</v>
      </c>
      <c r="P113" t="n">
        <v>1</v>
      </c>
      <c r="Q113" t="n">
        <v>1</v>
      </c>
      <c r="R113" s="2" t="inlineStr">
        <is>
          <t>Knärot</t>
        </is>
      </c>
      <c r="S113">
        <f>HYPERLINK("https://klasma.github.io/Logging_VASTERVIK/artfynd/A 32653-2023.xlsx")</f>
        <v/>
      </c>
      <c r="T113">
        <f>HYPERLINK("https://klasma.github.io/Logging_VASTERVIK/kartor/A 32653-2023.png")</f>
        <v/>
      </c>
      <c r="U113">
        <f>HYPERLINK("https://klasma.github.io/Logging_VASTERVIK/knärot/A 32653-2023.png")</f>
        <v/>
      </c>
      <c r="V113">
        <f>HYPERLINK("https://klasma.github.io/Logging_VASTERVIK/klagomål/A 32653-2023.docx")</f>
        <v/>
      </c>
      <c r="W113">
        <f>HYPERLINK("https://klasma.github.io/Logging_VASTERVIK/klagomålsmail/A 32653-2023.docx")</f>
        <v/>
      </c>
      <c r="X113">
        <f>HYPERLINK("https://klasma.github.io/Logging_VASTERVIK/tillsyn/A 32653-2023.docx")</f>
        <v/>
      </c>
      <c r="Y113">
        <f>HYPERLINK("https://klasma.github.io/Logging_VASTERVIK/tillsynsmail/A 32653-2023.docx")</f>
        <v/>
      </c>
    </row>
    <row r="114" ht="15" customHeight="1">
      <c r="A114" t="inlineStr">
        <is>
          <t>A 34043-2018</t>
        </is>
      </c>
      <c r="B114" s="1" t="n">
        <v>43315</v>
      </c>
      <c r="C114" s="1" t="n">
        <v>45175</v>
      </c>
      <c r="D114" t="inlineStr">
        <is>
          <t>KALMAR LÄN</t>
        </is>
      </c>
      <c r="E114" t="inlineStr">
        <is>
          <t>VÄSTERVIK</t>
        </is>
      </c>
      <c r="G114" t="n">
        <v>6.4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35140-2018</t>
        </is>
      </c>
      <c r="B115" s="1" t="n">
        <v>43322</v>
      </c>
      <c r="C115" s="1" t="n">
        <v>45175</v>
      </c>
      <c r="D115" t="inlineStr">
        <is>
          <t>KALMAR LÄN</t>
        </is>
      </c>
      <c r="E115" t="inlineStr">
        <is>
          <t>VÄSTERVIK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37590-2018</t>
        </is>
      </c>
      <c r="B116" s="1" t="n">
        <v>43334</v>
      </c>
      <c r="C116" s="1" t="n">
        <v>45175</v>
      </c>
      <c r="D116" t="inlineStr">
        <is>
          <t>KALMAR LÄN</t>
        </is>
      </c>
      <c r="E116" t="inlineStr">
        <is>
          <t>VÄSTERVIK</t>
        </is>
      </c>
      <c r="G116" t="n">
        <v>0.3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37626-2018</t>
        </is>
      </c>
      <c r="B117" s="1" t="n">
        <v>43334</v>
      </c>
      <c r="C117" s="1" t="n">
        <v>45175</v>
      </c>
      <c r="D117" t="inlineStr">
        <is>
          <t>KALMAR LÄN</t>
        </is>
      </c>
      <c r="E117" t="inlineStr">
        <is>
          <t>VÄSTERVIK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37566-2018</t>
        </is>
      </c>
      <c r="B118" s="1" t="n">
        <v>43334</v>
      </c>
      <c r="C118" s="1" t="n">
        <v>45175</v>
      </c>
      <c r="D118" t="inlineStr">
        <is>
          <t>KALMAR LÄN</t>
        </is>
      </c>
      <c r="E118" t="inlineStr">
        <is>
          <t>VÄSTERVIK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  <c r="U118">
        <f>HYPERLINK("https://klasma.github.io/Logging_VASTERVIK/knärot/A 37566-2018.png")</f>
        <v/>
      </c>
      <c r="V118">
        <f>HYPERLINK("https://klasma.github.io/Logging_VASTERVIK/klagomål/A 37566-2018.docx")</f>
        <v/>
      </c>
      <c r="W118">
        <f>HYPERLINK("https://klasma.github.io/Logging_VASTERVIK/klagomålsmail/A 37566-2018.docx")</f>
        <v/>
      </c>
      <c r="X118">
        <f>HYPERLINK("https://klasma.github.io/Logging_VASTERVIK/tillsyn/A 37566-2018.docx")</f>
        <v/>
      </c>
      <c r="Y118">
        <f>HYPERLINK("https://klasma.github.io/Logging_VASTERVIK/tillsynsmail/A 37566-2018.docx")</f>
        <v/>
      </c>
    </row>
    <row r="119" ht="15" customHeight="1">
      <c r="A119" t="inlineStr">
        <is>
          <t>A 37595-2018</t>
        </is>
      </c>
      <c r="B119" s="1" t="n">
        <v>43334</v>
      </c>
      <c r="C119" s="1" t="n">
        <v>45175</v>
      </c>
      <c r="D119" t="inlineStr">
        <is>
          <t>KALMAR LÄN</t>
        </is>
      </c>
      <c r="E119" t="inlineStr">
        <is>
          <t>VÄSTERVIK</t>
        </is>
      </c>
      <c r="G119" t="n">
        <v>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39681-2018</t>
        </is>
      </c>
      <c r="B120" s="1" t="n">
        <v>43341</v>
      </c>
      <c r="C120" s="1" t="n">
        <v>45175</v>
      </c>
      <c r="D120" t="inlineStr">
        <is>
          <t>KALMAR LÄN</t>
        </is>
      </c>
      <c r="E120" t="inlineStr">
        <is>
          <t>VÄSTERVIK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41343-2018</t>
        </is>
      </c>
      <c r="B121" s="1" t="n">
        <v>43348</v>
      </c>
      <c r="C121" s="1" t="n">
        <v>45175</v>
      </c>
      <c r="D121" t="inlineStr">
        <is>
          <t>KALMAR LÄN</t>
        </is>
      </c>
      <c r="E121" t="inlineStr">
        <is>
          <t>VÄSTERVIK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41339-2018</t>
        </is>
      </c>
      <c r="B122" s="1" t="n">
        <v>43348</v>
      </c>
      <c r="C122" s="1" t="n">
        <v>45175</v>
      </c>
      <c r="D122" t="inlineStr">
        <is>
          <t>KALMAR LÄN</t>
        </is>
      </c>
      <c r="E122" t="inlineStr">
        <is>
          <t>VÄSTERVIK</t>
        </is>
      </c>
      <c r="G122" t="n">
        <v>5.5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42283-2018</t>
        </is>
      </c>
      <c r="B123" s="1" t="n">
        <v>43349</v>
      </c>
      <c r="C123" s="1" t="n">
        <v>45175</v>
      </c>
      <c r="D123" t="inlineStr">
        <is>
          <t>KALMAR LÄN</t>
        </is>
      </c>
      <c r="E123" t="inlineStr">
        <is>
          <t>VÄSTERVIK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72680-2018</t>
        </is>
      </c>
      <c r="B124" s="1" t="n">
        <v>43354</v>
      </c>
      <c r="C124" s="1" t="n">
        <v>45175</v>
      </c>
      <c r="D124" t="inlineStr">
        <is>
          <t>KALMAR LÄN</t>
        </is>
      </c>
      <c r="E124" t="inlineStr">
        <is>
          <t>VÄSTERVIK</t>
        </is>
      </c>
      <c r="F124" t="inlineStr">
        <is>
          <t>Övriga Aktiebolag</t>
        </is>
      </c>
      <c r="G124" t="n">
        <v>4.3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42579-2018</t>
        </is>
      </c>
      <c r="B125" s="1" t="n">
        <v>43354</v>
      </c>
      <c r="C125" s="1" t="n">
        <v>45175</v>
      </c>
      <c r="D125" t="inlineStr">
        <is>
          <t>KALMAR LÄN</t>
        </is>
      </c>
      <c r="E125" t="inlineStr">
        <is>
          <t>VÄSTERVIK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46363-2018</t>
        </is>
      </c>
      <c r="B126" s="1" t="n">
        <v>43363</v>
      </c>
      <c r="C126" s="1" t="n">
        <v>45175</v>
      </c>
      <c r="D126" t="inlineStr">
        <is>
          <t>KALMAR LÄN</t>
        </is>
      </c>
      <c r="E126" t="inlineStr">
        <is>
          <t>VÄSTERVIK</t>
        </is>
      </c>
      <c r="G126" t="n">
        <v>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45954-2018</t>
        </is>
      </c>
      <c r="B127" s="1" t="n">
        <v>43364</v>
      </c>
      <c r="C127" s="1" t="n">
        <v>45175</v>
      </c>
      <c r="D127" t="inlineStr">
        <is>
          <t>KALMAR LÄN</t>
        </is>
      </c>
      <c r="E127" t="inlineStr">
        <is>
          <t>VÄSTERVIK</t>
        </is>
      </c>
      <c r="G127" t="n">
        <v>11.4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46355-2018</t>
        </is>
      </c>
      <c r="B128" s="1" t="n">
        <v>43364</v>
      </c>
      <c r="C128" s="1" t="n">
        <v>45175</v>
      </c>
      <c r="D128" t="inlineStr">
        <is>
          <t>KALMAR LÄN</t>
        </is>
      </c>
      <c r="E128" t="inlineStr">
        <is>
          <t>VÄSTERVIK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46250-2018</t>
        </is>
      </c>
      <c r="B129" s="1" t="n">
        <v>43364</v>
      </c>
      <c r="C129" s="1" t="n">
        <v>45175</v>
      </c>
      <c r="D129" t="inlineStr">
        <is>
          <t>KALMAR LÄN</t>
        </is>
      </c>
      <c r="E129" t="inlineStr">
        <is>
          <t>VÄSTERVIK</t>
        </is>
      </c>
      <c r="G129" t="n">
        <v>3.8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45871-2018</t>
        </is>
      </c>
      <c r="B130" s="1" t="n">
        <v>43364</v>
      </c>
      <c r="C130" s="1" t="n">
        <v>45175</v>
      </c>
      <c r="D130" t="inlineStr">
        <is>
          <t>KALMAR LÄN</t>
        </is>
      </c>
      <c r="E130" t="inlineStr">
        <is>
          <t>VÄSTERVIK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46247-2018</t>
        </is>
      </c>
      <c r="B131" s="1" t="n">
        <v>43364</v>
      </c>
      <c r="C131" s="1" t="n">
        <v>45175</v>
      </c>
      <c r="D131" t="inlineStr">
        <is>
          <t>KALMAR LÄN</t>
        </is>
      </c>
      <c r="E131" t="inlineStr">
        <is>
          <t>VÄSTERVIK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50802-2018</t>
        </is>
      </c>
      <c r="B132" s="1" t="n">
        <v>43376</v>
      </c>
      <c r="C132" s="1" t="n">
        <v>45175</v>
      </c>
      <c r="D132" t="inlineStr">
        <is>
          <t>KALMAR LÄN</t>
        </is>
      </c>
      <c r="E132" t="inlineStr">
        <is>
          <t>VÄSTERVIK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51206-2018</t>
        </is>
      </c>
      <c r="B133" s="1" t="n">
        <v>43377</v>
      </c>
      <c r="C133" s="1" t="n">
        <v>45175</v>
      </c>
      <c r="D133" t="inlineStr">
        <is>
          <t>KALMAR LÄN</t>
        </is>
      </c>
      <c r="E133" t="inlineStr">
        <is>
          <t>VÄSTERVIK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49744-2018</t>
        </is>
      </c>
      <c r="B134" s="1" t="n">
        <v>43377</v>
      </c>
      <c r="C134" s="1" t="n">
        <v>45175</v>
      </c>
      <c r="D134" t="inlineStr">
        <is>
          <t>KALMAR LÄN</t>
        </is>
      </c>
      <c r="E134" t="inlineStr">
        <is>
          <t>VÄSTERVIK</t>
        </is>
      </c>
      <c r="G134" t="n">
        <v>4.1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51198-2018</t>
        </is>
      </c>
      <c r="B135" s="1" t="n">
        <v>43377</v>
      </c>
      <c r="C135" s="1" t="n">
        <v>45175</v>
      </c>
      <c r="D135" t="inlineStr">
        <is>
          <t>KALMAR LÄN</t>
        </is>
      </c>
      <c r="E135" t="inlineStr">
        <is>
          <t>VÄSTERVIK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51109-2018</t>
        </is>
      </c>
      <c r="B136" s="1" t="n">
        <v>43378</v>
      </c>
      <c r="C136" s="1" t="n">
        <v>45175</v>
      </c>
      <c r="D136" t="inlineStr">
        <is>
          <t>KALMAR LÄN</t>
        </is>
      </c>
      <c r="E136" t="inlineStr">
        <is>
          <t>VÄSTERVIK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51978-2018</t>
        </is>
      </c>
      <c r="B137" s="1" t="n">
        <v>43382</v>
      </c>
      <c r="C137" s="1" t="n">
        <v>45175</v>
      </c>
      <c r="D137" t="inlineStr">
        <is>
          <t>KALMAR LÄN</t>
        </is>
      </c>
      <c r="E137" t="inlineStr">
        <is>
          <t>VÄSTERVIK</t>
        </is>
      </c>
      <c r="G137" t="n">
        <v>4.3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52411-2018</t>
        </is>
      </c>
      <c r="B138" s="1" t="n">
        <v>43388</v>
      </c>
      <c r="C138" s="1" t="n">
        <v>45175</v>
      </c>
      <c r="D138" t="inlineStr">
        <is>
          <t>KALMAR LÄN</t>
        </is>
      </c>
      <c r="E138" t="inlineStr">
        <is>
          <t>VÄSTERVIK</t>
        </is>
      </c>
      <c r="G138" t="n">
        <v>7.5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54305-2018</t>
        </is>
      </c>
      <c r="B139" s="1" t="n">
        <v>43393</v>
      </c>
      <c r="C139" s="1" t="n">
        <v>45175</v>
      </c>
      <c r="D139" t="inlineStr">
        <is>
          <t>KALMAR LÄN</t>
        </is>
      </c>
      <c r="E139" t="inlineStr">
        <is>
          <t>VÄSTERVIK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54601-2018</t>
        </is>
      </c>
      <c r="B140" s="1" t="n">
        <v>43395</v>
      </c>
      <c r="C140" s="1" t="n">
        <v>45175</v>
      </c>
      <c r="D140" t="inlineStr">
        <is>
          <t>KALMAR LÄN</t>
        </is>
      </c>
      <c r="E140" t="inlineStr">
        <is>
          <t>VÄSTERVIK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57753-2018</t>
        </is>
      </c>
      <c r="B141" s="1" t="n">
        <v>43397</v>
      </c>
      <c r="C141" s="1" t="n">
        <v>45175</v>
      </c>
      <c r="D141" t="inlineStr">
        <is>
          <t>KALMAR LÄN</t>
        </is>
      </c>
      <c r="E141" t="inlineStr">
        <is>
          <t>VÄSTERVIK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58654-2018</t>
        </is>
      </c>
      <c r="B142" s="1" t="n">
        <v>43399</v>
      </c>
      <c r="C142" s="1" t="n">
        <v>45175</v>
      </c>
      <c r="D142" t="inlineStr">
        <is>
          <t>KALMAR LÄN</t>
        </is>
      </c>
      <c r="E142" t="inlineStr">
        <is>
          <t>VÄSTERVIK</t>
        </is>
      </c>
      <c r="G142" t="n">
        <v>4.7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58980-2018</t>
        </is>
      </c>
      <c r="B143" s="1" t="n">
        <v>43402</v>
      </c>
      <c r="C143" s="1" t="n">
        <v>45175</v>
      </c>
      <c r="D143" t="inlineStr">
        <is>
          <t>KALMAR LÄN</t>
        </is>
      </c>
      <c r="E143" t="inlineStr">
        <is>
          <t>VÄSTERVIK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58989-2018</t>
        </is>
      </c>
      <c r="B144" s="1" t="n">
        <v>43402</v>
      </c>
      <c r="C144" s="1" t="n">
        <v>45175</v>
      </c>
      <c r="D144" t="inlineStr">
        <is>
          <t>KALMAR LÄN</t>
        </is>
      </c>
      <c r="E144" t="inlineStr">
        <is>
          <t>VÄSTERVIK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59797-2018</t>
        </is>
      </c>
      <c r="B145" s="1" t="n">
        <v>43411</v>
      </c>
      <c r="C145" s="1" t="n">
        <v>45175</v>
      </c>
      <c r="D145" t="inlineStr">
        <is>
          <t>KALMAR LÄN</t>
        </is>
      </c>
      <c r="E145" t="inlineStr">
        <is>
          <t>VÄSTERVIK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62110-2018</t>
        </is>
      </c>
      <c r="B146" s="1" t="n">
        <v>43416</v>
      </c>
      <c r="C146" s="1" t="n">
        <v>45175</v>
      </c>
      <c r="D146" t="inlineStr">
        <is>
          <t>KALMAR LÄN</t>
        </is>
      </c>
      <c r="E146" t="inlineStr">
        <is>
          <t>VÄSTERVIK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61218-2018</t>
        </is>
      </c>
      <c r="B147" s="1" t="n">
        <v>43416</v>
      </c>
      <c r="C147" s="1" t="n">
        <v>45175</v>
      </c>
      <c r="D147" t="inlineStr">
        <is>
          <t>KALMAR LÄN</t>
        </is>
      </c>
      <c r="E147" t="inlineStr">
        <is>
          <t>VÄSTERVIK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62121-2018</t>
        </is>
      </c>
      <c r="B148" s="1" t="n">
        <v>43416</v>
      </c>
      <c r="C148" s="1" t="n">
        <v>45175</v>
      </c>
      <c r="D148" t="inlineStr">
        <is>
          <t>KALMAR LÄN</t>
        </is>
      </c>
      <c r="E148" t="inlineStr">
        <is>
          <t>VÄSTERVIK</t>
        </is>
      </c>
      <c r="G148" t="n">
        <v>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61206-2018</t>
        </is>
      </c>
      <c r="B149" s="1" t="n">
        <v>43416</v>
      </c>
      <c r="C149" s="1" t="n">
        <v>45175</v>
      </c>
      <c r="D149" t="inlineStr">
        <is>
          <t>KALMAR LÄN</t>
        </is>
      </c>
      <c r="E149" t="inlineStr">
        <is>
          <t>VÄSTERVIK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62810-2018</t>
        </is>
      </c>
      <c r="B150" s="1" t="n">
        <v>43417</v>
      </c>
      <c r="C150" s="1" t="n">
        <v>45175</v>
      </c>
      <c r="D150" t="inlineStr">
        <is>
          <t>KALMAR LÄN</t>
        </is>
      </c>
      <c r="E150" t="inlineStr">
        <is>
          <t>VÄSTERVIK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62951-2018</t>
        </is>
      </c>
      <c r="B151" s="1" t="n">
        <v>43417</v>
      </c>
      <c r="C151" s="1" t="n">
        <v>45175</v>
      </c>
      <c r="D151" t="inlineStr">
        <is>
          <t>KALMAR LÄN</t>
        </is>
      </c>
      <c r="E151" t="inlineStr">
        <is>
          <t>VÄSTERVIK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60989-2018</t>
        </is>
      </c>
      <c r="B152" s="1" t="n">
        <v>43423</v>
      </c>
      <c r="C152" s="1" t="n">
        <v>45175</v>
      </c>
      <c r="D152" t="inlineStr">
        <is>
          <t>KALMAR LÄN</t>
        </is>
      </c>
      <c r="E152" t="inlineStr">
        <is>
          <t>VÄSTERVIK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61633-2018</t>
        </is>
      </c>
      <c r="B153" s="1" t="n">
        <v>43424</v>
      </c>
      <c r="C153" s="1" t="n">
        <v>45175</v>
      </c>
      <c r="D153" t="inlineStr">
        <is>
          <t>KALMAR LÄN</t>
        </is>
      </c>
      <c r="E153" t="inlineStr">
        <is>
          <t>VÄSTERVIK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63491-2018</t>
        </is>
      </c>
      <c r="B154" s="1" t="n">
        <v>43427</v>
      </c>
      <c r="C154" s="1" t="n">
        <v>45175</v>
      </c>
      <c r="D154" t="inlineStr">
        <is>
          <t>KALMAR LÄN</t>
        </is>
      </c>
      <c r="E154" t="inlineStr">
        <is>
          <t>VÄSTERVIK</t>
        </is>
      </c>
      <c r="F154" t="inlineStr">
        <is>
          <t>Sveaskog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63483-2018</t>
        </is>
      </c>
      <c r="B155" s="1" t="n">
        <v>43427</v>
      </c>
      <c r="C155" s="1" t="n">
        <v>45175</v>
      </c>
      <c r="D155" t="inlineStr">
        <is>
          <t>KALMAR LÄN</t>
        </is>
      </c>
      <c r="E155" t="inlineStr">
        <is>
          <t>VÄSTERVIK</t>
        </is>
      </c>
      <c r="F155" t="inlineStr">
        <is>
          <t>Sveaskog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63526-2018</t>
        </is>
      </c>
      <c r="B156" s="1" t="n">
        <v>43427</v>
      </c>
      <c r="C156" s="1" t="n">
        <v>45175</v>
      </c>
      <c r="D156" t="inlineStr">
        <is>
          <t>KALMAR LÄN</t>
        </is>
      </c>
      <c r="E156" t="inlineStr">
        <is>
          <t>VÄSTERVIK</t>
        </is>
      </c>
      <c r="F156" t="inlineStr">
        <is>
          <t>Övriga Aktiebolag</t>
        </is>
      </c>
      <c r="G156" t="n">
        <v>2.2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63880-2018</t>
        </is>
      </c>
      <c r="B157" s="1" t="n">
        <v>43430</v>
      </c>
      <c r="C157" s="1" t="n">
        <v>45175</v>
      </c>
      <c r="D157" t="inlineStr">
        <is>
          <t>KALMAR LÄN</t>
        </is>
      </c>
      <c r="E157" t="inlineStr">
        <is>
          <t>VÄSTERVIK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64880-2018</t>
        </is>
      </c>
      <c r="B158" s="1" t="n">
        <v>43431</v>
      </c>
      <c r="C158" s="1" t="n">
        <v>45175</v>
      </c>
      <c r="D158" t="inlineStr">
        <is>
          <t>KALMAR LÄN</t>
        </is>
      </c>
      <c r="E158" t="inlineStr">
        <is>
          <t>VÄSTERVIK</t>
        </is>
      </c>
      <c r="G158" t="n">
        <v>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66040-2018</t>
        </is>
      </c>
      <c r="B159" s="1" t="n">
        <v>43434</v>
      </c>
      <c r="C159" s="1" t="n">
        <v>45175</v>
      </c>
      <c r="D159" t="inlineStr">
        <is>
          <t>KALMAR LÄN</t>
        </is>
      </c>
      <c r="E159" t="inlineStr">
        <is>
          <t>VÄSTERVIK</t>
        </is>
      </c>
      <c r="F159" t="inlineStr">
        <is>
          <t>Sveaskog</t>
        </is>
      </c>
      <c r="G159" t="n">
        <v>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66375-2018</t>
        </is>
      </c>
      <c r="B160" s="1" t="n">
        <v>43436</v>
      </c>
      <c r="C160" s="1" t="n">
        <v>45175</v>
      </c>
      <c r="D160" t="inlineStr">
        <is>
          <t>KALMAR LÄN</t>
        </is>
      </c>
      <c r="E160" t="inlineStr">
        <is>
          <t>VÄSTERVIK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66706-2018</t>
        </is>
      </c>
      <c r="B161" s="1" t="n">
        <v>43437</v>
      </c>
      <c r="C161" s="1" t="n">
        <v>45175</v>
      </c>
      <c r="D161" t="inlineStr">
        <is>
          <t>KALMAR LÄN</t>
        </is>
      </c>
      <c r="E161" t="inlineStr">
        <is>
          <t>VÄSTERVIK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66790-2018</t>
        </is>
      </c>
      <c r="B162" s="1" t="n">
        <v>43437</v>
      </c>
      <c r="C162" s="1" t="n">
        <v>45175</v>
      </c>
      <c r="D162" t="inlineStr">
        <is>
          <t>KALMAR LÄN</t>
        </is>
      </c>
      <c r="E162" t="inlineStr">
        <is>
          <t>VÄSTERVIK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66438-2018</t>
        </is>
      </c>
      <c r="B163" s="1" t="n">
        <v>43437</v>
      </c>
      <c r="C163" s="1" t="n">
        <v>45175</v>
      </c>
      <c r="D163" t="inlineStr">
        <is>
          <t>KALMAR LÄN</t>
        </is>
      </c>
      <c r="E163" t="inlineStr">
        <is>
          <t>VÄSTERVIK</t>
        </is>
      </c>
      <c r="G163" t="n">
        <v>8.300000000000001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67016-2018</t>
        </is>
      </c>
      <c r="B164" s="1" t="n">
        <v>43438</v>
      </c>
      <c r="C164" s="1" t="n">
        <v>45175</v>
      </c>
      <c r="D164" t="inlineStr">
        <is>
          <t>KALMAR LÄN</t>
        </is>
      </c>
      <c r="E164" t="inlineStr">
        <is>
          <t>VÄSTERVIK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67471-2018</t>
        </is>
      </c>
      <c r="B165" s="1" t="n">
        <v>43439</v>
      </c>
      <c r="C165" s="1" t="n">
        <v>45175</v>
      </c>
      <c r="D165" t="inlineStr">
        <is>
          <t>KALMAR LÄN</t>
        </is>
      </c>
      <c r="E165" t="inlineStr">
        <is>
          <t>VÄSTERVIK</t>
        </is>
      </c>
      <c r="F165" t="inlineStr">
        <is>
          <t>Kyrkan</t>
        </is>
      </c>
      <c r="G165" t="n">
        <v>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68457-2018</t>
        </is>
      </c>
      <c r="B166" s="1" t="n">
        <v>43439</v>
      </c>
      <c r="C166" s="1" t="n">
        <v>45175</v>
      </c>
      <c r="D166" t="inlineStr">
        <is>
          <t>KALMAR LÄN</t>
        </is>
      </c>
      <c r="E166" t="inlineStr">
        <is>
          <t>VÄSTERVIK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67444-2018</t>
        </is>
      </c>
      <c r="B167" s="1" t="n">
        <v>43439</v>
      </c>
      <c r="C167" s="1" t="n">
        <v>45175</v>
      </c>
      <c r="D167" t="inlineStr">
        <is>
          <t>KALMAR LÄN</t>
        </is>
      </c>
      <c r="E167" t="inlineStr">
        <is>
          <t>VÄSTERVIK</t>
        </is>
      </c>
      <c r="F167" t="inlineStr">
        <is>
          <t>Kyrkan</t>
        </is>
      </c>
      <c r="G167" t="n">
        <v>7.6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67244-2018</t>
        </is>
      </c>
      <c r="B168" s="1" t="n">
        <v>43439</v>
      </c>
      <c r="C168" s="1" t="n">
        <v>45175</v>
      </c>
      <c r="D168" t="inlineStr">
        <is>
          <t>KALMAR LÄN</t>
        </is>
      </c>
      <c r="E168" t="inlineStr">
        <is>
          <t>VÄSTERVIK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67908-2018</t>
        </is>
      </c>
      <c r="B169" s="1" t="n">
        <v>43440</v>
      </c>
      <c r="C169" s="1" t="n">
        <v>45175</v>
      </c>
      <c r="D169" t="inlineStr">
        <is>
          <t>KALMAR LÄN</t>
        </is>
      </c>
      <c r="E169" t="inlineStr">
        <is>
          <t>VÄSTERVIK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68734-2018</t>
        </is>
      </c>
      <c r="B170" s="1" t="n">
        <v>43444</v>
      </c>
      <c r="C170" s="1" t="n">
        <v>45175</v>
      </c>
      <c r="D170" t="inlineStr">
        <is>
          <t>KALMAR LÄN</t>
        </is>
      </c>
      <c r="E170" t="inlineStr">
        <is>
          <t>VÄSTERVIK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68862-2018</t>
        </is>
      </c>
      <c r="B171" s="1" t="n">
        <v>43444</v>
      </c>
      <c r="C171" s="1" t="n">
        <v>45175</v>
      </c>
      <c r="D171" t="inlineStr">
        <is>
          <t>KALMAR LÄN</t>
        </is>
      </c>
      <c r="E171" t="inlineStr">
        <is>
          <t>VÄSTERVIK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68863-2018</t>
        </is>
      </c>
      <c r="B172" s="1" t="n">
        <v>43444</v>
      </c>
      <c r="C172" s="1" t="n">
        <v>45175</v>
      </c>
      <c r="D172" t="inlineStr">
        <is>
          <t>KALMAR LÄN</t>
        </is>
      </c>
      <c r="E172" t="inlineStr">
        <is>
          <t>VÄSTERVIK</t>
        </is>
      </c>
      <c r="G172" t="n">
        <v>3.6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68860-2018</t>
        </is>
      </c>
      <c r="B173" s="1" t="n">
        <v>43444</v>
      </c>
      <c r="C173" s="1" t="n">
        <v>45175</v>
      </c>
      <c r="D173" t="inlineStr">
        <is>
          <t>KALMAR LÄN</t>
        </is>
      </c>
      <c r="E173" t="inlineStr">
        <is>
          <t>VÄSTERVIK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68859-2018</t>
        </is>
      </c>
      <c r="B174" s="1" t="n">
        <v>43444</v>
      </c>
      <c r="C174" s="1" t="n">
        <v>45175</v>
      </c>
      <c r="D174" t="inlineStr">
        <is>
          <t>KALMAR LÄN</t>
        </is>
      </c>
      <c r="E174" t="inlineStr">
        <is>
          <t>VÄSTERVIK</t>
        </is>
      </c>
      <c r="G174" t="n">
        <v>3.3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68866-2018</t>
        </is>
      </c>
      <c r="B175" s="1" t="n">
        <v>43444</v>
      </c>
      <c r="C175" s="1" t="n">
        <v>45175</v>
      </c>
      <c r="D175" t="inlineStr">
        <is>
          <t>KALMAR LÄN</t>
        </is>
      </c>
      <c r="E175" t="inlineStr">
        <is>
          <t>VÄSTERVIK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70500-2018</t>
        </is>
      </c>
      <c r="B176" s="1" t="n">
        <v>43447</v>
      </c>
      <c r="C176" s="1" t="n">
        <v>45175</v>
      </c>
      <c r="D176" t="inlineStr">
        <is>
          <t>KALMAR LÄN</t>
        </is>
      </c>
      <c r="E176" t="inlineStr">
        <is>
          <t>VÄSTERVIK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70503-2018</t>
        </is>
      </c>
      <c r="B177" s="1" t="n">
        <v>43447</v>
      </c>
      <c r="C177" s="1" t="n">
        <v>45175</v>
      </c>
      <c r="D177" t="inlineStr">
        <is>
          <t>KALMAR LÄN</t>
        </is>
      </c>
      <c r="E177" t="inlineStr">
        <is>
          <t>VÄSTERVIK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70103-2018</t>
        </is>
      </c>
      <c r="B178" s="1" t="n">
        <v>43448</v>
      </c>
      <c r="C178" s="1" t="n">
        <v>45175</v>
      </c>
      <c r="D178" t="inlineStr">
        <is>
          <t>KALMAR LÄN</t>
        </is>
      </c>
      <c r="E178" t="inlineStr">
        <is>
          <t>VÄSTERVIK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71657-2018</t>
        </is>
      </c>
      <c r="B179" s="1" t="n">
        <v>43454</v>
      </c>
      <c r="C179" s="1" t="n">
        <v>45175</v>
      </c>
      <c r="D179" t="inlineStr">
        <is>
          <t>KALMAR LÄN</t>
        </is>
      </c>
      <c r="E179" t="inlineStr">
        <is>
          <t>VÄSTERVIK</t>
        </is>
      </c>
      <c r="G179" t="n">
        <v>7.3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71645-2018</t>
        </is>
      </c>
      <c r="B180" s="1" t="n">
        <v>43454</v>
      </c>
      <c r="C180" s="1" t="n">
        <v>45175</v>
      </c>
      <c r="D180" t="inlineStr">
        <is>
          <t>KALMAR LÄN</t>
        </is>
      </c>
      <c r="E180" t="inlineStr">
        <is>
          <t>VÄSTERVIK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71690-2018</t>
        </is>
      </c>
      <c r="B181" s="1" t="n">
        <v>43454</v>
      </c>
      <c r="C181" s="1" t="n">
        <v>45175</v>
      </c>
      <c r="D181" t="inlineStr">
        <is>
          <t>KALMAR LÄN</t>
        </is>
      </c>
      <c r="E181" t="inlineStr">
        <is>
          <t>VÄSTERVIK</t>
        </is>
      </c>
      <c r="G181" t="n">
        <v>7.7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71713-2018</t>
        </is>
      </c>
      <c r="B182" s="1" t="n">
        <v>43454</v>
      </c>
      <c r="C182" s="1" t="n">
        <v>45175</v>
      </c>
      <c r="D182" t="inlineStr">
        <is>
          <t>KALMAR LÄN</t>
        </is>
      </c>
      <c r="E182" t="inlineStr">
        <is>
          <t>VÄSTERVIK</t>
        </is>
      </c>
      <c r="G182" t="n">
        <v>13.8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530-2019</t>
        </is>
      </c>
      <c r="B183" s="1" t="n">
        <v>43455</v>
      </c>
      <c r="C183" s="1" t="n">
        <v>45175</v>
      </c>
      <c r="D183" t="inlineStr">
        <is>
          <t>KALMAR LÄN</t>
        </is>
      </c>
      <c r="E183" t="inlineStr">
        <is>
          <t>VÄSTERVIK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71990-2018</t>
        </is>
      </c>
      <c r="B184" s="1" t="n">
        <v>43455</v>
      </c>
      <c r="C184" s="1" t="n">
        <v>45175</v>
      </c>
      <c r="D184" t="inlineStr">
        <is>
          <t>KALMAR LÄN</t>
        </is>
      </c>
      <c r="E184" t="inlineStr">
        <is>
          <t>VÄSTERVIK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2821-2019</t>
        </is>
      </c>
      <c r="B185" s="1" t="n">
        <v>43469</v>
      </c>
      <c r="C185" s="1" t="n">
        <v>45175</v>
      </c>
      <c r="D185" t="inlineStr">
        <is>
          <t>KALMAR LÄN</t>
        </is>
      </c>
      <c r="E185" t="inlineStr">
        <is>
          <t>VÄSTERVIK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1341-2019</t>
        </is>
      </c>
      <c r="B186" s="1" t="n">
        <v>43473</v>
      </c>
      <c r="C186" s="1" t="n">
        <v>45175</v>
      </c>
      <c r="D186" t="inlineStr">
        <is>
          <t>KALMAR LÄN</t>
        </is>
      </c>
      <c r="E186" t="inlineStr">
        <is>
          <t>VÄSTERVIK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1490-2019</t>
        </is>
      </c>
      <c r="B187" s="1" t="n">
        <v>43473</v>
      </c>
      <c r="C187" s="1" t="n">
        <v>45175</v>
      </c>
      <c r="D187" t="inlineStr">
        <is>
          <t>KALMAR LÄN</t>
        </is>
      </c>
      <c r="E187" t="inlineStr">
        <is>
          <t>VÄSTERVIK</t>
        </is>
      </c>
      <c r="G187" t="n">
        <v>3.7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2437-2019</t>
        </is>
      </c>
      <c r="B188" s="1" t="n">
        <v>43476</v>
      </c>
      <c r="C188" s="1" t="n">
        <v>45175</v>
      </c>
      <c r="D188" t="inlineStr">
        <is>
          <t>KALMAR LÄN</t>
        </is>
      </c>
      <c r="E188" t="inlineStr">
        <is>
          <t>VÄSTERVIK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5154-2019</t>
        </is>
      </c>
      <c r="B189" s="1" t="n">
        <v>43488</v>
      </c>
      <c r="C189" s="1" t="n">
        <v>45175</v>
      </c>
      <c r="D189" t="inlineStr">
        <is>
          <t>KALMAR LÄN</t>
        </is>
      </c>
      <c r="E189" t="inlineStr">
        <is>
          <t>VÄSTERVIK</t>
        </is>
      </c>
      <c r="F189" t="inlineStr">
        <is>
          <t>Holmen skog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6614-2019</t>
        </is>
      </c>
      <c r="B190" s="1" t="n">
        <v>43488</v>
      </c>
      <c r="C190" s="1" t="n">
        <v>45175</v>
      </c>
      <c r="D190" t="inlineStr">
        <is>
          <t>KALMAR LÄN</t>
        </is>
      </c>
      <c r="E190" t="inlineStr">
        <is>
          <t>VÄSTERVIK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6918-2019</t>
        </is>
      </c>
      <c r="B191" s="1" t="n">
        <v>43488</v>
      </c>
      <c r="C191" s="1" t="n">
        <v>45175</v>
      </c>
      <c r="D191" t="inlineStr">
        <is>
          <t>KALMAR LÄN</t>
        </is>
      </c>
      <c r="E191" t="inlineStr">
        <is>
          <t>VÄSTERVIK</t>
        </is>
      </c>
      <c r="G191" t="n">
        <v>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5536-2019</t>
        </is>
      </c>
      <c r="B192" s="1" t="n">
        <v>43489</v>
      </c>
      <c r="C192" s="1" t="n">
        <v>45175</v>
      </c>
      <c r="D192" t="inlineStr">
        <is>
          <t>KALMAR LÄN</t>
        </is>
      </c>
      <c r="E192" t="inlineStr">
        <is>
          <t>VÄSTERVIK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5602-2019</t>
        </is>
      </c>
      <c r="B193" s="1" t="n">
        <v>43489</v>
      </c>
      <c r="C193" s="1" t="n">
        <v>45175</v>
      </c>
      <c r="D193" t="inlineStr">
        <is>
          <t>KALMAR LÄN</t>
        </is>
      </c>
      <c r="E193" t="inlineStr">
        <is>
          <t>VÄSTERVIK</t>
        </is>
      </c>
      <c r="F193" t="inlineStr">
        <is>
          <t>Holmen skog AB</t>
        </is>
      </c>
      <c r="G193" t="n">
        <v>9.9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5614-2019</t>
        </is>
      </c>
      <c r="B194" s="1" t="n">
        <v>43489</v>
      </c>
      <c r="C194" s="1" t="n">
        <v>45175</v>
      </c>
      <c r="D194" t="inlineStr">
        <is>
          <t>KALMAR LÄN</t>
        </is>
      </c>
      <c r="E194" t="inlineStr">
        <is>
          <t>VÄSTERVIK</t>
        </is>
      </c>
      <c r="F194" t="inlineStr">
        <is>
          <t>Holmen skog AB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5598-2019</t>
        </is>
      </c>
      <c r="B195" s="1" t="n">
        <v>43489</v>
      </c>
      <c r="C195" s="1" t="n">
        <v>45175</v>
      </c>
      <c r="D195" t="inlineStr">
        <is>
          <t>KALMAR LÄN</t>
        </is>
      </c>
      <c r="E195" t="inlineStr">
        <is>
          <t>VÄSTERVIK</t>
        </is>
      </c>
      <c r="F195" t="inlineStr">
        <is>
          <t>Holmen skog AB</t>
        </is>
      </c>
      <c r="G195" t="n">
        <v>4.8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5604-2019</t>
        </is>
      </c>
      <c r="B196" s="1" t="n">
        <v>43489</v>
      </c>
      <c r="C196" s="1" t="n">
        <v>45175</v>
      </c>
      <c r="D196" t="inlineStr">
        <is>
          <t>KALMAR LÄN</t>
        </is>
      </c>
      <c r="E196" t="inlineStr">
        <is>
          <t>VÄSTERVIK</t>
        </is>
      </c>
      <c r="F196" t="inlineStr">
        <is>
          <t>Holmen skog AB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5599-2019</t>
        </is>
      </c>
      <c r="B197" s="1" t="n">
        <v>43489</v>
      </c>
      <c r="C197" s="1" t="n">
        <v>45175</v>
      </c>
      <c r="D197" t="inlineStr">
        <is>
          <t>KALMAR LÄN</t>
        </is>
      </c>
      <c r="E197" t="inlineStr">
        <is>
          <t>VÄSTERVIK</t>
        </is>
      </c>
      <c r="F197" t="inlineStr">
        <is>
          <t>Holmen skog AB</t>
        </is>
      </c>
      <c r="G197" t="n">
        <v>0.2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6276-2019</t>
        </is>
      </c>
      <c r="B198" s="1" t="n">
        <v>43493</v>
      </c>
      <c r="C198" s="1" t="n">
        <v>45175</v>
      </c>
      <c r="D198" t="inlineStr">
        <is>
          <t>KALMAR LÄN</t>
        </is>
      </c>
      <c r="E198" t="inlineStr">
        <is>
          <t>VÄSTERVIK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6726-2019</t>
        </is>
      </c>
      <c r="B199" s="1" t="n">
        <v>43494</v>
      </c>
      <c r="C199" s="1" t="n">
        <v>45175</v>
      </c>
      <c r="D199" t="inlineStr">
        <is>
          <t>KALMAR LÄN</t>
        </is>
      </c>
      <c r="E199" t="inlineStr">
        <is>
          <t>VÄSTERVIK</t>
        </is>
      </c>
      <c r="G199" t="n">
        <v>6.3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7779-2019</t>
        </is>
      </c>
      <c r="B200" s="1" t="n">
        <v>43494</v>
      </c>
      <c r="C200" s="1" t="n">
        <v>45175</v>
      </c>
      <c r="D200" t="inlineStr">
        <is>
          <t>KALMAR LÄN</t>
        </is>
      </c>
      <c r="E200" t="inlineStr">
        <is>
          <t>VÄSTERVIK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6731-2019</t>
        </is>
      </c>
      <c r="B201" s="1" t="n">
        <v>43494</v>
      </c>
      <c r="C201" s="1" t="n">
        <v>45175</v>
      </c>
      <c r="D201" t="inlineStr">
        <is>
          <t>KALMAR LÄN</t>
        </is>
      </c>
      <c r="E201" t="inlineStr">
        <is>
          <t>VÄSTERVIK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6533-2019</t>
        </is>
      </c>
      <c r="B202" s="1" t="n">
        <v>43494</v>
      </c>
      <c r="C202" s="1" t="n">
        <v>45175</v>
      </c>
      <c r="D202" t="inlineStr">
        <is>
          <t>KALMAR LÄN</t>
        </is>
      </c>
      <c r="E202" t="inlineStr">
        <is>
          <t>VÄSTERVIK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6730-2019</t>
        </is>
      </c>
      <c r="B203" s="1" t="n">
        <v>43494</v>
      </c>
      <c r="C203" s="1" t="n">
        <v>45175</v>
      </c>
      <c r="D203" t="inlineStr">
        <is>
          <t>KALMAR LÄN</t>
        </is>
      </c>
      <c r="E203" t="inlineStr">
        <is>
          <t>VÄSTERVIK</t>
        </is>
      </c>
      <c r="G203" t="n">
        <v>4.3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9468-2019</t>
        </is>
      </c>
      <c r="B204" s="1" t="n">
        <v>43507</v>
      </c>
      <c r="C204" s="1" t="n">
        <v>45175</v>
      </c>
      <c r="D204" t="inlineStr">
        <is>
          <t>KALMAR LÄN</t>
        </is>
      </c>
      <c r="E204" t="inlineStr">
        <is>
          <t>VÄSTERVIK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10455-2019</t>
        </is>
      </c>
      <c r="B205" s="1" t="n">
        <v>43511</v>
      </c>
      <c r="C205" s="1" t="n">
        <v>45175</v>
      </c>
      <c r="D205" t="inlineStr">
        <is>
          <t>KALMAR LÄN</t>
        </is>
      </c>
      <c r="E205" t="inlineStr">
        <is>
          <t>VÄSTERVIK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10744-2019</t>
        </is>
      </c>
      <c r="B206" s="1" t="n">
        <v>43514</v>
      </c>
      <c r="C206" s="1" t="n">
        <v>45175</v>
      </c>
      <c r="D206" t="inlineStr">
        <is>
          <t>KALMAR LÄN</t>
        </is>
      </c>
      <c r="E206" t="inlineStr">
        <is>
          <t>VÄSTERVIK</t>
        </is>
      </c>
      <c r="F206" t="inlineStr">
        <is>
          <t>Holmen skog AB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10742-2019</t>
        </is>
      </c>
      <c r="B207" s="1" t="n">
        <v>43514</v>
      </c>
      <c r="C207" s="1" t="n">
        <v>45175</v>
      </c>
      <c r="D207" t="inlineStr">
        <is>
          <t>KALMAR LÄN</t>
        </is>
      </c>
      <c r="E207" t="inlineStr">
        <is>
          <t>VÄSTERVIK</t>
        </is>
      </c>
      <c r="F207" t="inlineStr">
        <is>
          <t>Holmen skog AB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10694-2019</t>
        </is>
      </c>
      <c r="B208" s="1" t="n">
        <v>43514</v>
      </c>
      <c r="C208" s="1" t="n">
        <v>45175</v>
      </c>
      <c r="D208" t="inlineStr">
        <is>
          <t>KALMAR LÄN</t>
        </is>
      </c>
      <c r="E208" t="inlineStr">
        <is>
          <t>VÄSTERVIK</t>
        </is>
      </c>
      <c r="F208" t="inlineStr">
        <is>
          <t>Holmen skog AB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10709-2019</t>
        </is>
      </c>
      <c r="B209" s="1" t="n">
        <v>43514</v>
      </c>
      <c r="C209" s="1" t="n">
        <v>45175</v>
      </c>
      <c r="D209" t="inlineStr">
        <is>
          <t>KALMAR LÄN</t>
        </is>
      </c>
      <c r="E209" t="inlineStr">
        <is>
          <t>VÄSTERVIK</t>
        </is>
      </c>
      <c r="F209" t="inlineStr">
        <is>
          <t>Holmen skog AB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10740-2019</t>
        </is>
      </c>
      <c r="B210" s="1" t="n">
        <v>43514</v>
      </c>
      <c r="C210" s="1" t="n">
        <v>45175</v>
      </c>
      <c r="D210" t="inlineStr">
        <is>
          <t>KALMAR LÄN</t>
        </is>
      </c>
      <c r="E210" t="inlineStr">
        <is>
          <t>VÄSTERVIK</t>
        </is>
      </c>
      <c r="F210" t="inlineStr">
        <is>
          <t>Holmen skog AB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11244-2019</t>
        </is>
      </c>
      <c r="B211" s="1" t="n">
        <v>43516</v>
      </c>
      <c r="C211" s="1" t="n">
        <v>45175</v>
      </c>
      <c r="D211" t="inlineStr">
        <is>
          <t>KALMAR LÄN</t>
        </is>
      </c>
      <c r="E211" t="inlineStr">
        <is>
          <t>VÄSTERVIK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11306-2019</t>
        </is>
      </c>
      <c r="B212" s="1" t="n">
        <v>43516</v>
      </c>
      <c r="C212" s="1" t="n">
        <v>45175</v>
      </c>
      <c r="D212" t="inlineStr">
        <is>
          <t>KALMAR LÄN</t>
        </is>
      </c>
      <c r="E212" t="inlineStr">
        <is>
          <t>VÄSTERVIK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11303-2019</t>
        </is>
      </c>
      <c r="B213" s="1" t="n">
        <v>43516</v>
      </c>
      <c r="C213" s="1" t="n">
        <v>45175</v>
      </c>
      <c r="D213" t="inlineStr">
        <is>
          <t>KALMAR LÄN</t>
        </is>
      </c>
      <c r="E213" t="inlineStr">
        <is>
          <t>VÄSTERVIK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11689-2019</t>
        </is>
      </c>
      <c r="B214" s="1" t="n">
        <v>43518</v>
      </c>
      <c r="C214" s="1" t="n">
        <v>45175</v>
      </c>
      <c r="D214" t="inlineStr">
        <is>
          <t>KALMAR LÄN</t>
        </is>
      </c>
      <c r="E214" t="inlineStr">
        <is>
          <t>VÄSTERVIK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11686-2019</t>
        </is>
      </c>
      <c r="B215" s="1" t="n">
        <v>43518</v>
      </c>
      <c r="C215" s="1" t="n">
        <v>45175</v>
      </c>
      <c r="D215" t="inlineStr">
        <is>
          <t>KALMAR LÄN</t>
        </is>
      </c>
      <c r="E215" t="inlineStr">
        <is>
          <t>VÄSTERVIK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12113-2019</t>
        </is>
      </c>
      <c r="B216" s="1" t="n">
        <v>43521</v>
      </c>
      <c r="C216" s="1" t="n">
        <v>45175</v>
      </c>
      <c r="D216" t="inlineStr">
        <is>
          <t>KALMAR LÄN</t>
        </is>
      </c>
      <c r="E216" t="inlineStr">
        <is>
          <t>VÄSTERVIK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11979-2019</t>
        </is>
      </c>
      <c r="B217" s="1" t="n">
        <v>43521</v>
      </c>
      <c r="C217" s="1" t="n">
        <v>45175</v>
      </c>
      <c r="D217" t="inlineStr">
        <is>
          <t>KALMAR LÄN</t>
        </is>
      </c>
      <c r="E217" t="inlineStr">
        <is>
          <t>VÄSTERVIK</t>
        </is>
      </c>
      <c r="F217" t="inlineStr">
        <is>
          <t>Sveaskog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12111-2019</t>
        </is>
      </c>
      <c r="B218" s="1" t="n">
        <v>43521</v>
      </c>
      <c r="C218" s="1" t="n">
        <v>45175</v>
      </c>
      <c r="D218" t="inlineStr">
        <is>
          <t>KALMAR LÄN</t>
        </is>
      </c>
      <c r="E218" t="inlineStr">
        <is>
          <t>VÄSTERVIK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12117-2019</t>
        </is>
      </c>
      <c r="B219" s="1" t="n">
        <v>43521</v>
      </c>
      <c r="C219" s="1" t="n">
        <v>45175</v>
      </c>
      <c r="D219" t="inlineStr">
        <is>
          <t>KALMAR LÄN</t>
        </is>
      </c>
      <c r="E219" t="inlineStr">
        <is>
          <t>VÄSTERVIK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12143-2019</t>
        </is>
      </c>
      <c r="B220" s="1" t="n">
        <v>43522</v>
      </c>
      <c r="C220" s="1" t="n">
        <v>45175</v>
      </c>
      <c r="D220" t="inlineStr">
        <is>
          <t>KALMAR LÄN</t>
        </is>
      </c>
      <c r="E220" t="inlineStr">
        <is>
          <t>VÄSTERVIK</t>
        </is>
      </c>
      <c r="G220" t="n">
        <v>16.1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13473-2019</t>
        </is>
      </c>
      <c r="B221" s="1" t="n">
        <v>43529</v>
      </c>
      <c r="C221" s="1" t="n">
        <v>45175</v>
      </c>
      <c r="D221" t="inlineStr">
        <is>
          <t>KALMAR LÄN</t>
        </is>
      </c>
      <c r="E221" t="inlineStr">
        <is>
          <t>VÄSTERVIK</t>
        </is>
      </c>
      <c r="G221" t="n">
        <v>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13480-2019</t>
        </is>
      </c>
      <c r="B222" s="1" t="n">
        <v>43529</v>
      </c>
      <c r="C222" s="1" t="n">
        <v>45175</v>
      </c>
      <c r="D222" t="inlineStr">
        <is>
          <t>KALMAR LÄN</t>
        </is>
      </c>
      <c r="E222" t="inlineStr">
        <is>
          <t>VÄSTERVIK</t>
        </is>
      </c>
      <c r="G222" t="n">
        <v>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13903-2019</t>
        </is>
      </c>
      <c r="B223" s="1" t="n">
        <v>43531</v>
      </c>
      <c r="C223" s="1" t="n">
        <v>45175</v>
      </c>
      <c r="D223" t="inlineStr">
        <is>
          <t>KALMAR LÄN</t>
        </is>
      </c>
      <c r="E223" t="inlineStr">
        <is>
          <t>VÄSTERVIK</t>
        </is>
      </c>
      <c r="F223" t="inlineStr">
        <is>
          <t>Sveaskog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13902-2019</t>
        </is>
      </c>
      <c r="B224" s="1" t="n">
        <v>43531</v>
      </c>
      <c r="C224" s="1" t="n">
        <v>45175</v>
      </c>
      <c r="D224" t="inlineStr">
        <is>
          <t>KALMAR LÄN</t>
        </is>
      </c>
      <c r="E224" t="inlineStr">
        <is>
          <t>VÄSTERVIK</t>
        </is>
      </c>
      <c r="F224" t="inlineStr">
        <is>
          <t>Sveaskog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14149-2019</t>
        </is>
      </c>
      <c r="B225" s="1" t="n">
        <v>43533</v>
      </c>
      <c r="C225" s="1" t="n">
        <v>45175</v>
      </c>
      <c r="D225" t="inlineStr">
        <is>
          <t>KALMAR LÄN</t>
        </is>
      </c>
      <c r="E225" t="inlineStr">
        <is>
          <t>VÄSTERVIK</t>
        </is>
      </c>
      <c r="G225" t="n">
        <v>14.5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14895-2019</t>
        </is>
      </c>
      <c r="B226" s="1" t="n">
        <v>43537</v>
      </c>
      <c r="C226" s="1" t="n">
        <v>45175</v>
      </c>
      <c r="D226" t="inlineStr">
        <is>
          <t>KALMAR LÄN</t>
        </is>
      </c>
      <c r="E226" t="inlineStr">
        <is>
          <t>VÄSTERVIK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15123-2019</t>
        </is>
      </c>
      <c r="B227" s="1" t="n">
        <v>43538</v>
      </c>
      <c r="C227" s="1" t="n">
        <v>45175</v>
      </c>
      <c r="D227" t="inlineStr">
        <is>
          <t>KALMAR LÄN</t>
        </is>
      </c>
      <c r="E227" t="inlineStr">
        <is>
          <t>VÄSTERVIK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15136-2019</t>
        </is>
      </c>
      <c r="B228" s="1" t="n">
        <v>43539</v>
      </c>
      <c r="C228" s="1" t="n">
        <v>45175</v>
      </c>
      <c r="D228" t="inlineStr">
        <is>
          <t>KALMAR LÄN</t>
        </is>
      </c>
      <c r="E228" t="inlineStr">
        <is>
          <t>VÄSTERVIK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15281-2019</t>
        </is>
      </c>
      <c r="B229" s="1" t="n">
        <v>43539</v>
      </c>
      <c r="C229" s="1" t="n">
        <v>45175</v>
      </c>
      <c r="D229" t="inlineStr">
        <is>
          <t>KALMAR LÄN</t>
        </is>
      </c>
      <c r="E229" t="inlineStr">
        <is>
          <t>VÄSTERVIK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15872-2019</t>
        </is>
      </c>
      <c r="B230" s="1" t="n">
        <v>43543</v>
      </c>
      <c r="C230" s="1" t="n">
        <v>45175</v>
      </c>
      <c r="D230" t="inlineStr">
        <is>
          <t>KALMAR LÄN</t>
        </is>
      </c>
      <c r="E230" t="inlineStr">
        <is>
          <t>VÄSTERVIK</t>
        </is>
      </c>
      <c r="F230" t="inlineStr">
        <is>
          <t>Sveaskog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15806-2019</t>
        </is>
      </c>
      <c r="B231" s="1" t="n">
        <v>43543</v>
      </c>
      <c r="C231" s="1" t="n">
        <v>45175</v>
      </c>
      <c r="D231" t="inlineStr">
        <is>
          <t>KALMAR LÄN</t>
        </is>
      </c>
      <c r="E231" t="inlineStr">
        <is>
          <t>VÄSTERVIK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16730-2019</t>
        </is>
      </c>
      <c r="B232" s="1" t="n">
        <v>43549</v>
      </c>
      <c r="C232" s="1" t="n">
        <v>45175</v>
      </c>
      <c r="D232" t="inlineStr">
        <is>
          <t>KALMAR LÄN</t>
        </is>
      </c>
      <c r="E232" t="inlineStr">
        <is>
          <t>VÄSTERVIK</t>
        </is>
      </c>
      <c r="G232" t="n">
        <v>3.2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17286-2019</t>
        </is>
      </c>
      <c r="B233" s="1" t="n">
        <v>43550</v>
      </c>
      <c r="C233" s="1" t="n">
        <v>45175</v>
      </c>
      <c r="D233" t="inlineStr">
        <is>
          <t>KALMAR LÄN</t>
        </is>
      </c>
      <c r="E233" t="inlineStr">
        <is>
          <t>VÄSTERVIK</t>
        </is>
      </c>
      <c r="G233" t="n">
        <v>3.1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17291-2019</t>
        </is>
      </c>
      <c r="B234" s="1" t="n">
        <v>43550</v>
      </c>
      <c r="C234" s="1" t="n">
        <v>45175</v>
      </c>
      <c r="D234" t="inlineStr">
        <is>
          <t>KALMAR LÄN</t>
        </is>
      </c>
      <c r="E234" t="inlineStr">
        <is>
          <t>VÄSTERVIK</t>
        </is>
      </c>
      <c r="G234" t="n">
        <v>4.1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17120-2019</t>
        </is>
      </c>
      <c r="B235" s="1" t="n">
        <v>43551</v>
      </c>
      <c r="C235" s="1" t="n">
        <v>45175</v>
      </c>
      <c r="D235" t="inlineStr">
        <is>
          <t>KALMAR LÄN</t>
        </is>
      </c>
      <c r="E235" t="inlineStr">
        <is>
          <t>VÄSTERVIK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17155-2019</t>
        </is>
      </c>
      <c r="B236" s="1" t="n">
        <v>43551</v>
      </c>
      <c r="C236" s="1" t="n">
        <v>45175</v>
      </c>
      <c r="D236" t="inlineStr">
        <is>
          <t>KALMAR LÄN</t>
        </is>
      </c>
      <c r="E236" t="inlineStr">
        <is>
          <t>VÄSTERVIK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18419-2019</t>
        </is>
      </c>
      <c r="B237" s="1" t="n">
        <v>43559</v>
      </c>
      <c r="C237" s="1" t="n">
        <v>45175</v>
      </c>
      <c r="D237" t="inlineStr">
        <is>
          <t>KALMAR LÄN</t>
        </is>
      </c>
      <c r="E237" t="inlineStr">
        <is>
          <t>VÄSTERVIK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18417-2019</t>
        </is>
      </c>
      <c r="B238" s="1" t="n">
        <v>43559</v>
      </c>
      <c r="C238" s="1" t="n">
        <v>45175</v>
      </c>
      <c r="D238" t="inlineStr">
        <is>
          <t>KALMAR LÄN</t>
        </is>
      </c>
      <c r="E238" t="inlineStr">
        <is>
          <t>VÄSTERVIK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18552-2019</t>
        </is>
      </c>
      <c r="B239" s="1" t="n">
        <v>43559</v>
      </c>
      <c r="C239" s="1" t="n">
        <v>45175</v>
      </c>
      <c r="D239" t="inlineStr">
        <is>
          <t>KALMAR LÄN</t>
        </is>
      </c>
      <c r="E239" t="inlineStr">
        <is>
          <t>VÄSTERVIK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18770-2019</t>
        </is>
      </c>
      <c r="B240" s="1" t="n">
        <v>43560</v>
      </c>
      <c r="C240" s="1" t="n">
        <v>45175</v>
      </c>
      <c r="D240" t="inlineStr">
        <is>
          <t>KALMAR LÄN</t>
        </is>
      </c>
      <c r="E240" t="inlineStr">
        <is>
          <t>VÄSTERVIK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18768-2019</t>
        </is>
      </c>
      <c r="B241" s="1" t="n">
        <v>43560</v>
      </c>
      <c r="C241" s="1" t="n">
        <v>45175</v>
      </c>
      <c r="D241" t="inlineStr">
        <is>
          <t>KALMAR LÄN</t>
        </is>
      </c>
      <c r="E241" t="inlineStr">
        <is>
          <t>VÄSTERVIK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19141-2019</t>
        </is>
      </c>
      <c r="B242" s="1" t="n">
        <v>43564</v>
      </c>
      <c r="C242" s="1" t="n">
        <v>45175</v>
      </c>
      <c r="D242" t="inlineStr">
        <is>
          <t>KALMAR LÄN</t>
        </is>
      </c>
      <c r="E242" t="inlineStr">
        <is>
          <t>VÄSTERVIK</t>
        </is>
      </c>
      <c r="G242" t="n">
        <v>3.3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19414-2019</t>
        </is>
      </c>
      <c r="B243" s="1" t="n">
        <v>43565</v>
      </c>
      <c r="C243" s="1" t="n">
        <v>45175</v>
      </c>
      <c r="D243" t="inlineStr">
        <is>
          <t>KALMAR LÄN</t>
        </is>
      </c>
      <c r="E243" t="inlineStr">
        <is>
          <t>VÄSTERVIK</t>
        </is>
      </c>
      <c r="F243" t="inlineStr">
        <is>
          <t>Sveaskog</t>
        </is>
      </c>
      <c r="G243" t="n">
        <v>5.4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19653-2019</t>
        </is>
      </c>
      <c r="B244" s="1" t="n">
        <v>43566</v>
      </c>
      <c r="C244" s="1" t="n">
        <v>45175</v>
      </c>
      <c r="D244" t="inlineStr">
        <is>
          <t>KALMAR LÄN</t>
        </is>
      </c>
      <c r="E244" t="inlineStr">
        <is>
          <t>VÄSTERVIK</t>
        </is>
      </c>
      <c r="F244" t="inlineStr">
        <is>
          <t>Sveaskog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19819-2019</t>
        </is>
      </c>
      <c r="B245" s="1" t="n">
        <v>43567</v>
      </c>
      <c r="C245" s="1" t="n">
        <v>45175</v>
      </c>
      <c r="D245" t="inlineStr">
        <is>
          <t>KALMAR LÄN</t>
        </is>
      </c>
      <c r="E245" t="inlineStr">
        <is>
          <t>VÄSTERVIK</t>
        </is>
      </c>
      <c r="F245" t="inlineStr">
        <is>
          <t>Sveaskog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19825-2019</t>
        </is>
      </c>
      <c r="B246" s="1" t="n">
        <v>43567</v>
      </c>
      <c r="C246" s="1" t="n">
        <v>45175</v>
      </c>
      <c r="D246" t="inlineStr">
        <is>
          <t>KALMAR LÄN</t>
        </is>
      </c>
      <c r="E246" t="inlineStr">
        <is>
          <t>VÄSTERVIK</t>
        </is>
      </c>
      <c r="F246" t="inlineStr">
        <is>
          <t>Sveaskog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20371-2019</t>
        </is>
      </c>
      <c r="B247" s="1" t="n">
        <v>43571</v>
      </c>
      <c r="C247" s="1" t="n">
        <v>45175</v>
      </c>
      <c r="D247" t="inlineStr">
        <is>
          <t>KALMAR LÄN</t>
        </is>
      </c>
      <c r="E247" t="inlineStr">
        <is>
          <t>VÄSTERVIK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24133-2019</t>
        </is>
      </c>
      <c r="B248" s="1" t="n">
        <v>43598</v>
      </c>
      <c r="C248" s="1" t="n">
        <v>45175</v>
      </c>
      <c r="D248" t="inlineStr">
        <is>
          <t>KALMAR LÄN</t>
        </is>
      </c>
      <c r="E248" t="inlineStr">
        <is>
          <t>VÄSTERVIK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24354-2019</t>
        </is>
      </c>
      <c r="B249" s="1" t="n">
        <v>43599</v>
      </c>
      <c r="C249" s="1" t="n">
        <v>45175</v>
      </c>
      <c r="D249" t="inlineStr">
        <is>
          <t>KALMAR LÄN</t>
        </is>
      </c>
      <c r="E249" t="inlineStr">
        <is>
          <t>VÄSTERVIK</t>
        </is>
      </c>
      <c r="G249" t="n">
        <v>3.7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24356-2019</t>
        </is>
      </c>
      <c r="B250" s="1" t="n">
        <v>43599</v>
      </c>
      <c r="C250" s="1" t="n">
        <v>45175</v>
      </c>
      <c r="D250" t="inlineStr">
        <is>
          <t>KALMAR LÄN</t>
        </is>
      </c>
      <c r="E250" t="inlineStr">
        <is>
          <t>VÄSTERVIK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24316-2019</t>
        </is>
      </c>
      <c r="B251" s="1" t="n">
        <v>43599</v>
      </c>
      <c r="C251" s="1" t="n">
        <v>45175</v>
      </c>
      <c r="D251" t="inlineStr">
        <is>
          <t>KALMAR LÄN</t>
        </is>
      </c>
      <c r="E251" t="inlineStr">
        <is>
          <t>VÄSTERVIK</t>
        </is>
      </c>
      <c r="G251" t="n">
        <v>14.9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24358-2019</t>
        </is>
      </c>
      <c r="B252" s="1" t="n">
        <v>43599</v>
      </c>
      <c r="C252" s="1" t="n">
        <v>45175</v>
      </c>
      <c r="D252" t="inlineStr">
        <is>
          <t>KALMAR LÄN</t>
        </is>
      </c>
      <c r="E252" t="inlineStr">
        <is>
          <t>VÄSTERVIK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24318-2019</t>
        </is>
      </c>
      <c r="B253" s="1" t="n">
        <v>43599</v>
      </c>
      <c r="C253" s="1" t="n">
        <v>45175</v>
      </c>
      <c r="D253" t="inlineStr">
        <is>
          <t>KALMAR LÄN</t>
        </is>
      </c>
      <c r="E253" t="inlineStr">
        <is>
          <t>VÄSTERVIK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24550-2019</t>
        </is>
      </c>
      <c r="B254" s="1" t="n">
        <v>43600</v>
      </c>
      <c r="C254" s="1" t="n">
        <v>45175</v>
      </c>
      <c r="D254" t="inlineStr">
        <is>
          <t>KALMAR LÄN</t>
        </is>
      </c>
      <c r="E254" t="inlineStr">
        <is>
          <t>VÄSTERVIK</t>
        </is>
      </c>
      <c r="G254" t="n">
        <v>3.6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24683-2019</t>
        </is>
      </c>
      <c r="B255" s="1" t="n">
        <v>43601</v>
      </c>
      <c r="C255" s="1" t="n">
        <v>45175</v>
      </c>
      <c r="D255" t="inlineStr">
        <is>
          <t>KALMAR LÄN</t>
        </is>
      </c>
      <c r="E255" t="inlineStr">
        <is>
          <t>VÄSTERVIK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24944-2019</t>
        </is>
      </c>
      <c r="B256" s="1" t="n">
        <v>43602</v>
      </c>
      <c r="C256" s="1" t="n">
        <v>45175</v>
      </c>
      <c r="D256" t="inlineStr">
        <is>
          <t>KALMAR LÄN</t>
        </is>
      </c>
      <c r="E256" t="inlineStr">
        <is>
          <t>VÄSTERVIK</t>
        </is>
      </c>
      <c r="G256" t="n">
        <v>4.1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26470-2019</t>
        </is>
      </c>
      <c r="B257" s="1" t="n">
        <v>43606</v>
      </c>
      <c r="C257" s="1" t="n">
        <v>45175</v>
      </c>
      <c r="D257" t="inlineStr">
        <is>
          <t>KALMAR LÄN</t>
        </is>
      </c>
      <c r="E257" t="inlineStr">
        <is>
          <t>VÄSTERVIK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26833-2019</t>
        </is>
      </c>
      <c r="B258" s="1" t="n">
        <v>43608</v>
      </c>
      <c r="C258" s="1" t="n">
        <v>45175</v>
      </c>
      <c r="D258" t="inlineStr">
        <is>
          <t>KALMAR LÄN</t>
        </is>
      </c>
      <c r="E258" t="inlineStr">
        <is>
          <t>VÄSTERVIK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26834-2019</t>
        </is>
      </c>
      <c r="B259" s="1" t="n">
        <v>43608</v>
      </c>
      <c r="C259" s="1" t="n">
        <v>45175</v>
      </c>
      <c r="D259" t="inlineStr">
        <is>
          <t>KALMAR LÄN</t>
        </is>
      </c>
      <c r="E259" t="inlineStr">
        <is>
          <t>VÄSTERVIK</t>
        </is>
      </c>
      <c r="G259" t="n">
        <v>0.4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26590-2019</t>
        </is>
      </c>
      <c r="B260" s="1" t="n">
        <v>43612</v>
      </c>
      <c r="C260" s="1" t="n">
        <v>45175</v>
      </c>
      <c r="D260" t="inlineStr">
        <is>
          <t>KALMAR LÄN</t>
        </is>
      </c>
      <c r="E260" t="inlineStr">
        <is>
          <t>VÄSTERVIK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26567-2019</t>
        </is>
      </c>
      <c r="B261" s="1" t="n">
        <v>43612</v>
      </c>
      <c r="C261" s="1" t="n">
        <v>45175</v>
      </c>
      <c r="D261" t="inlineStr">
        <is>
          <t>KALMAR LÄN</t>
        </is>
      </c>
      <c r="E261" t="inlineStr">
        <is>
          <t>VÄSTERVIK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26578-2019</t>
        </is>
      </c>
      <c r="B262" s="1" t="n">
        <v>43612</v>
      </c>
      <c r="C262" s="1" t="n">
        <v>45175</v>
      </c>
      <c r="D262" t="inlineStr">
        <is>
          <t>KALMAR LÄN</t>
        </is>
      </c>
      <c r="E262" t="inlineStr">
        <is>
          <t>VÄSTERVIK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26585-2019</t>
        </is>
      </c>
      <c r="B263" s="1" t="n">
        <v>43612</v>
      </c>
      <c r="C263" s="1" t="n">
        <v>45175</v>
      </c>
      <c r="D263" t="inlineStr">
        <is>
          <t>KALMAR LÄN</t>
        </is>
      </c>
      <c r="E263" t="inlineStr">
        <is>
          <t>VÄSTERVIK</t>
        </is>
      </c>
      <c r="G263" t="n">
        <v>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27206-2019</t>
        </is>
      </c>
      <c r="B264" s="1" t="n">
        <v>43614</v>
      </c>
      <c r="C264" s="1" t="n">
        <v>45175</v>
      </c>
      <c r="D264" t="inlineStr">
        <is>
          <t>KALMAR LÄN</t>
        </is>
      </c>
      <c r="E264" t="inlineStr">
        <is>
          <t>VÄSTERVIK</t>
        </is>
      </c>
      <c r="F264" t="inlineStr">
        <is>
          <t>Sveaskog</t>
        </is>
      </c>
      <c r="G264" t="n">
        <v>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28970-2019</t>
        </is>
      </c>
      <c r="B265" s="1" t="n">
        <v>43619</v>
      </c>
      <c r="C265" s="1" t="n">
        <v>45175</v>
      </c>
      <c r="D265" t="inlineStr">
        <is>
          <t>KALMAR LÄN</t>
        </is>
      </c>
      <c r="E265" t="inlineStr">
        <is>
          <t>VÄSTERVIK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27654-2019</t>
        </is>
      </c>
      <c r="B266" s="1" t="n">
        <v>43619</v>
      </c>
      <c r="C266" s="1" t="n">
        <v>45175</v>
      </c>
      <c r="D266" t="inlineStr">
        <is>
          <t>KALMAR LÄN</t>
        </is>
      </c>
      <c r="E266" t="inlineStr">
        <is>
          <t>VÄSTERVIK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28347-2019</t>
        </is>
      </c>
      <c r="B267" s="1" t="n">
        <v>43624</v>
      </c>
      <c r="C267" s="1" t="n">
        <v>45175</v>
      </c>
      <c r="D267" t="inlineStr">
        <is>
          <t>KALMAR LÄN</t>
        </is>
      </c>
      <c r="E267" t="inlineStr">
        <is>
          <t>VÄSTERVIK</t>
        </is>
      </c>
      <c r="G267" t="n">
        <v>5.1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28594-2019</t>
        </is>
      </c>
      <c r="B268" s="1" t="n">
        <v>43626</v>
      </c>
      <c r="C268" s="1" t="n">
        <v>45175</v>
      </c>
      <c r="D268" t="inlineStr">
        <is>
          <t>KALMAR LÄN</t>
        </is>
      </c>
      <c r="E268" t="inlineStr">
        <is>
          <t>VÄSTERVIK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28590-2019</t>
        </is>
      </c>
      <c r="B269" s="1" t="n">
        <v>43626</v>
      </c>
      <c r="C269" s="1" t="n">
        <v>45175</v>
      </c>
      <c r="D269" t="inlineStr">
        <is>
          <t>KALMAR LÄN</t>
        </is>
      </c>
      <c r="E269" t="inlineStr">
        <is>
          <t>VÄSTERVIK</t>
        </is>
      </c>
      <c r="G269" t="n">
        <v>2.9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29519-2019</t>
        </is>
      </c>
      <c r="B270" s="1" t="n">
        <v>43627</v>
      </c>
      <c r="C270" s="1" t="n">
        <v>45175</v>
      </c>
      <c r="D270" t="inlineStr">
        <is>
          <t>KALMAR LÄN</t>
        </is>
      </c>
      <c r="E270" t="inlineStr">
        <is>
          <t>VÄSTERVIK</t>
        </is>
      </c>
      <c r="F270" t="inlineStr">
        <is>
          <t>Kommuner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29922-2019</t>
        </is>
      </c>
      <c r="B271" s="1" t="n">
        <v>43633</v>
      </c>
      <c r="C271" s="1" t="n">
        <v>45175</v>
      </c>
      <c r="D271" t="inlineStr">
        <is>
          <t>KALMAR LÄN</t>
        </is>
      </c>
      <c r="E271" t="inlineStr">
        <is>
          <t>VÄSTERVIK</t>
        </is>
      </c>
      <c r="G271" t="n">
        <v>3.8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30058-2019</t>
        </is>
      </c>
      <c r="B272" s="1" t="n">
        <v>43633</v>
      </c>
      <c r="C272" s="1" t="n">
        <v>45175</v>
      </c>
      <c r="D272" t="inlineStr">
        <is>
          <t>KALMAR LÄN</t>
        </is>
      </c>
      <c r="E272" t="inlineStr">
        <is>
          <t>VÄSTERVIK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30057-2019</t>
        </is>
      </c>
      <c r="B273" s="1" t="n">
        <v>43633</v>
      </c>
      <c r="C273" s="1" t="n">
        <v>45175</v>
      </c>
      <c r="D273" t="inlineStr">
        <is>
          <t>KALMAR LÄN</t>
        </is>
      </c>
      <c r="E273" t="inlineStr">
        <is>
          <t>VÄSTERVIK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31072-2019</t>
        </is>
      </c>
      <c r="B274" s="1" t="n">
        <v>43640</v>
      </c>
      <c r="C274" s="1" t="n">
        <v>45175</v>
      </c>
      <c r="D274" t="inlineStr">
        <is>
          <t>KALMAR LÄN</t>
        </is>
      </c>
      <c r="E274" t="inlineStr">
        <is>
          <t>VÄSTERVIK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32045-2019</t>
        </is>
      </c>
      <c r="B275" s="1" t="n">
        <v>43643</v>
      </c>
      <c r="C275" s="1" t="n">
        <v>45175</v>
      </c>
      <c r="D275" t="inlineStr">
        <is>
          <t>KALMAR LÄN</t>
        </is>
      </c>
      <c r="E275" t="inlineStr">
        <is>
          <t>VÄSTERVIK</t>
        </is>
      </c>
      <c r="G275" t="n">
        <v>6.5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32052-2019</t>
        </is>
      </c>
      <c r="B276" s="1" t="n">
        <v>43643</v>
      </c>
      <c r="C276" s="1" t="n">
        <v>45175</v>
      </c>
      <c r="D276" t="inlineStr">
        <is>
          <t>KALMAR LÄN</t>
        </is>
      </c>
      <c r="E276" t="inlineStr">
        <is>
          <t>VÄSTERVIK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32048-2019</t>
        </is>
      </c>
      <c r="B277" s="1" t="n">
        <v>43643</v>
      </c>
      <c r="C277" s="1" t="n">
        <v>45175</v>
      </c>
      <c r="D277" t="inlineStr">
        <is>
          <t>KALMAR LÄN</t>
        </is>
      </c>
      <c r="E277" t="inlineStr">
        <is>
          <t>VÄSTERVIK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32523-2019</t>
        </is>
      </c>
      <c r="B278" s="1" t="n">
        <v>43646</v>
      </c>
      <c r="C278" s="1" t="n">
        <v>45175</v>
      </c>
      <c r="D278" t="inlineStr">
        <is>
          <t>KALMAR LÄN</t>
        </is>
      </c>
      <c r="E278" t="inlineStr">
        <is>
          <t>VÄSTERVIK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32522-2019</t>
        </is>
      </c>
      <c r="B279" s="1" t="n">
        <v>43646</v>
      </c>
      <c r="C279" s="1" t="n">
        <v>45175</v>
      </c>
      <c r="D279" t="inlineStr">
        <is>
          <t>KALMAR LÄN</t>
        </is>
      </c>
      <c r="E279" t="inlineStr">
        <is>
          <t>VÄSTERVIK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32521-2019</t>
        </is>
      </c>
      <c r="B280" s="1" t="n">
        <v>43646</v>
      </c>
      <c r="C280" s="1" t="n">
        <v>45175</v>
      </c>
      <c r="D280" t="inlineStr">
        <is>
          <t>KALMAR LÄN</t>
        </is>
      </c>
      <c r="E280" t="inlineStr">
        <is>
          <t>VÄSTERVIK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32524-2019</t>
        </is>
      </c>
      <c r="B281" s="1" t="n">
        <v>43646</v>
      </c>
      <c r="C281" s="1" t="n">
        <v>45175</v>
      </c>
      <c r="D281" t="inlineStr">
        <is>
          <t>KALMAR LÄN</t>
        </is>
      </c>
      <c r="E281" t="inlineStr">
        <is>
          <t>VÄSTERVIK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33741-2019</t>
        </is>
      </c>
      <c r="B282" s="1" t="n">
        <v>43651</v>
      </c>
      <c r="C282" s="1" t="n">
        <v>45175</v>
      </c>
      <c r="D282" t="inlineStr">
        <is>
          <t>KALMAR LÄN</t>
        </is>
      </c>
      <c r="E282" t="inlineStr">
        <is>
          <t>VÄSTERVIK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33752-2019</t>
        </is>
      </c>
      <c r="B283" s="1" t="n">
        <v>43651</v>
      </c>
      <c r="C283" s="1" t="n">
        <v>45175</v>
      </c>
      <c r="D283" t="inlineStr">
        <is>
          <t>KALMAR LÄN</t>
        </is>
      </c>
      <c r="E283" t="inlineStr">
        <is>
          <t>VÄSTERVIK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33738-2019</t>
        </is>
      </c>
      <c r="B284" s="1" t="n">
        <v>43651</v>
      </c>
      <c r="C284" s="1" t="n">
        <v>45175</v>
      </c>
      <c r="D284" t="inlineStr">
        <is>
          <t>KALMAR LÄN</t>
        </is>
      </c>
      <c r="E284" t="inlineStr">
        <is>
          <t>VÄSTERVIK</t>
        </is>
      </c>
      <c r="G284" t="n">
        <v>2.5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35285-2019</t>
        </is>
      </c>
      <c r="B285" s="1" t="n">
        <v>43656</v>
      </c>
      <c r="C285" s="1" t="n">
        <v>45175</v>
      </c>
      <c r="D285" t="inlineStr">
        <is>
          <t>KALMAR LÄN</t>
        </is>
      </c>
      <c r="E285" t="inlineStr">
        <is>
          <t>VÄSTERVIK</t>
        </is>
      </c>
      <c r="G285" t="n">
        <v>5.7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35284-2019</t>
        </is>
      </c>
      <c r="B286" s="1" t="n">
        <v>43656</v>
      </c>
      <c r="C286" s="1" t="n">
        <v>45175</v>
      </c>
      <c r="D286" t="inlineStr">
        <is>
          <t>KALMAR LÄN</t>
        </is>
      </c>
      <c r="E286" t="inlineStr">
        <is>
          <t>VÄSTERVIK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35283-2019</t>
        </is>
      </c>
      <c r="B287" s="1" t="n">
        <v>43656</v>
      </c>
      <c r="C287" s="1" t="n">
        <v>45175</v>
      </c>
      <c r="D287" t="inlineStr">
        <is>
          <t>KALMAR LÄN</t>
        </is>
      </c>
      <c r="E287" t="inlineStr">
        <is>
          <t>VÄSTERVIK</t>
        </is>
      </c>
      <c r="G287" t="n">
        <v>3.2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37615-2019</t>
        </is>
      </c>
      <c r="B288" s="1" t="n">
        <v>43681</v>
      </c>
      <c r="C288" s="1" t="n">
        <v>45175</v>
      </c>
      <c r="D288" t="inlineStr">
        <is>
          <t>KALMAR LÄN</t>
        </is>
      </c>
      <c r="E288" t="inlineStr">
        <is>
          <t>VÄSTERVIK</t>
        </is>
      </c>
      <c r="G288" t="n">
        <v>3.9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37983-2019</t>
        </is>
      </c>
      <c r="B289" s="1" t="n">
        <v>43683</v>
      </c>
      <c r="C289" s="1" t="n">
        <v>45175</v>
      </c>
      <c r="D289" t="inlineStr">
        <is>
          <t>KALMAR LÄN</t>
        </is>
      </c>
      <c r="E289" t="inlineStr">
        <is>
          <t>VÄSTERVIK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37920-2019</t>
        </is>
      </c>
      <c r="B290" s="1" t="n">
        <v>43683</v>
      </c>
      <c r="C290" s="1" t="n">
        <v>45175</v>
      </c>
      <c r="D290" t="inlineStr">
        <is>
          <t>KALMAR LÄN</t>
        </is>
      </c>
      <c r="E290" t="inlineStr">
        <is>
          <t>VÄSTERVIK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38229-2019</t>
        </is>
      </c>
      <c r="B291" s="1" t="n">
        <v>43684</v>
      </c>
      <c r="C291" s="1" t="n">
        <v>45175</v>
      </c>
      <c r="D291" t="inlineStr">
        <is>
          <t>KALMAR LÄN</t>
        </is>
      </c>
      <c r="E291" t="inlineStr">
        <is>
          <t>VÄSTERVIK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38239-2019</t>
        </is>
      </c>
      <c r="B292" s="1" t="n">
        <v>43684</v>
      </c>
      <c r="C292" s="1" t="n">
        <v>45175</v>
      </c>
      <c r="D292" t="inlineStr">
        <is>
          <t>KALMAR LÄN</t>
        </is>
      </c>
      <c r="E292" t="inlineStr">
        <is>
          <t>VÄSTERVIK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38904-2019</t>
        </is>
      </c>
      <c r="B293" s="1" t="n">
        <v>43689</v>
      </c>
      <c r="C293" s="1" t="n">
        <v>45175</v>
      </c>
      <c r="D293" t="inlineStr">
        <is>
          <t>KALMAR LÄN</t>
        </is>
      </c>
      <c r="E293" t="inlineStr">
        <is>
          <t>VÄSTERVIK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39745-2019</t>
        </is>
      </c>
      <c r="B294" s="1" t="n">
        <v>43691</v>
      </c>
      <c r="C294" s="1" t="n">
        <v>45175</v>
      </c>
      <c r="D294" t="inlineStr">
        <is>
          <t>KALMAR LÄN</t>
        </is>
      </c>
      <c r="E294" t="inlineStr">
        <is>
          <t>VÄSTERVIK</t>
        </is>
      </c>
      <c r="G294" t="n">
        <v>2.1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39696-2019</t>
        </is>
      </c>
      <c r="B295" s="1" t="n">
        <v>43691</v>
      </c>
      <c r="C295" s="1" t="n">
        <v>45175</v>
      </c>
      <c r="D295" t="inlineStr">
        <is>
          <t>KALMAR LÄN</t>
        </is>
      </c>
      <c r="E295" t="inlineStr">
        <is>
          <t>VÄSTERVIK</t>
        </is>
      </c>
      <c r="F295" t="inlineStr">
        <is>
          <t>Sveaskog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41961-2019</t>
        </is>
      </c>
      <c r="B296" s="1" t="n">
        <v>43698</v>
      </c>
      <c r="C296" s="1" t="n">
        <v>45175</v>
      </c>
      <c r="D296" t="inlineStr">
        <is>
          <t>KALMAR LÄN</t>
        </is>
      </c>
      <c r="E296" t="inlineStr">
        <is>
          <t>VÄSTERVIK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41728-2019</t>
        </is>
      </c>
      <c r="B297" s="1" t="n">
        <v>43699</v>
      </c>
      <c r="C297" s="1" t="n">
        <v>45175</v>
      </c>
      <c r="D297" t="inlineStr">
        <is>
          <t>KALMAR LÄN</t>
        </is>
      </c>
      <c r="E297" t="inlineStr">
        <is>
          <t>VÄSTERVIK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44467-2019</t>
        </is>
      </c>
      <c r="B298" s="1" t="n">
        <v>43711</v>
      </c>
      <c r="C298" s="1" t="n">
        <v>45175</v>
      </c>
      <c r="D298" t="inlineStr">
        <is>
          <t>KALMAR LÄN</t>
        </is>
      </c>
      <c r="E298" t="inlineStr">
        <is>
          <t>VÄSTERVIK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44639-2019</t>
        </is>
      </c>
      <c r="B299" s="1" t="n">
        <v>43712</v>
      </c>
      <c r="C299" s="1" t="n">
        <v>45175</v>
      </c>
      <c r="D299" t="inlineStr">
        <is>
          <t>KALMAR LÄN</t>
        </is>
      </c>
      <c r="E299" t="inlineStr">
        <is>
          <t>VÄSTERVIK</t>
        </is>
      </c>
      <c r="F299" t="inlineStr">
        <is>
          <t>Övriga Aktiebolag</t>
        </is>
      </c>
      <c r="G299" t="n">
        <v>5.9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46173-2019</t>
        </is>
      </c>
      <c r="B300" s="1" t="n">
        <v>43712</v>
      </c>
      <c r="C300" s="1" t="n">
        <v>45175</v>
      </c>
      <c r="D300" t="inlineStr">
        <is>
          <t>KALMAR LÄN</t>
        </is>
      </c>
      <c r="E300" t="inlineStr">
        <is>
          <t>VÄSTERVIK</t>
        </is>
      </c>
      <c r="G300" t="n">
        <v>4.2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45162-2019</t>
        </is>
      </c>
      <c r="B301" s="1" t="n">
        <v>43713</v>
      </c>
      <c r="C301" s="1" t="n">
        <v>45175</v>
      </c>
      <c r="D301" t="inlineStr">
        <is>
          <t>KALMAR LÄN</t>
        </is>
      </c>
      <c r="E301" t="inlineStr">
        <is>
          <t>VÄSTERVIK</t>
        </is>
      </c>
      <c r="F301" t="inlineStr">
        <is>
          <t>Holmen skog AB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45386-2019</t>
        </is>
      </c>
      <c r="B302" s="1" t="n">
        <v>43713</v>
      </c>
      <c r="C302" s="1" t="n">
        <v>45175</v>
      </c>
      <c r="D302" t="inlineStr">
        <is>
          <t>KALMAR LÄN</t>
        </is>
      </c>
      <c r="E302" t="inlineStr">
        <is>
          <t>VÄSTERVIK</t>
        </is>
      </c>
      <c r="G302" t="n">
        <v>11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45379-2019</t>
        </is>
      </c>
      <c r="B303" s="1" t="n">
        <v>43713</v>
      </c>
      <c r="C303" s="1" t="n">
        <v>45175</v>
      </c>
      <c r="D303" t="inlineStr">
        <is>
          <t>KALMAR LÄN</t>
        </is>
      </c>
      <c r="E303" t="inlineStr">
        <is>
          <t>VÄSTERVIK</t>
        </is>
      </c>
      <c r="G303" t="n">
        <v>6.3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45897-2019</t>
        </is>
      </c>
      <c r="B304" s="1" t="n">
        <v>43717</v>
      </c>
      <c r="C304" s="1" t="n">
        <v>45175</v>
      </c>
      <c r="D304" t="inlineStr">
        <is>
          <t>KALMAR LÄN</t>
        </is>
      </c>
      <c r="E304" t="inlineStr">
        <is>
          <t>VÄSTERVIK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45757-2019</t>
        </is>
      </c>
      <c r="B305" s="1" t="n">
        <v>43717</v>
      </c>
      <c r="C305" s="1" t="n">
        <v>45175</v>
      </c>
      <c r="D305" t="inlineStr">
        <is>
          <t>KALMAR LÄN</t>
        </is>
      </c>
      <c r="E305" t="inlineStr">
        <is>
          <t>VÄSTERVIK</t>
        </is>
      </c>
      <c r="G305" t="n">
        <v>2.2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45772-2019</t>
        </is>
      </c>
      <c r="B306" s="1" t="n">
        <v>43717</v>
      </c>
      <c r="C306" s="1" t="n">
        <v>45175</v>
      </c>
      <c r="D306" t="inlineStr">
        <is>
          <t>KALMAR LÄN</t>
        </is>
      </c>
      <c r="E306" t="inlineStr">
        <is>
          <t>VÄSTERVIK</t>
        </is>
      </c>
      <c r="G306" t="n">
        <v>2.2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45977-2019</t>
        </is>
      </c>
      <c r="B307" s="1" t="n">
        <v>43718</v>
      </c>
      <c r="C307" s="1" t="n">
        <v>45175</v>
      </c>
      <c r="D307" t="inlineStr">
        <is>
          <t>KALMAR LÄN</t>
        </is>
      </c>
      <c r="E307" t="inlineStr">
        <is>
          <t>VÄSTERVIK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46333-2019</t>
        </is>
      </c>
      <c r="B308" s="1" t="n">
        <v>43718</v>
      </c>
      <c r="C308" s="1" t="n">
        <v>45175</v>
      </c>
      <c r="D308" t="inlineStr">
        <is>
          <t>KALMAR LÄN</t>
        </is>
      </c>
      <c r="E308" t="inlineStr">
        <is>
          <t>VÄSTERVIK</t>
        </is>
      </c>
      <c r="F308" t="inlineStr">
        <is>
          <t>Sveaskog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46942-2019</t>
        </is>
      </c>
      <c r="B309" s="1" t="n">
        <v>43719</v>
      </c>
      <c r="C309" s="1" t="n">
        <v>45175</v>
      </c>
      <c r="D309" t="inlineStr">
        <is>
          <t>KALMAR LÄN</t>
        </is>
      </c>
      <c r="E309" t="inlineStr">
        <is>
          <t>VÄSTERVIK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47438-2019</t>
        </is>
      </c>
      <c r="B310" s="1" t="n">
        <v>43723</v>
      </c>
      <c r="C310" s="1" t="n">
        <v>45175</v>
      </c>
      <c r="D310" t="inlineStr">
        <is>
          <t>KALMAR LÄN</t>
        </is>
      </c>
      <c r="E310" t="inlineStr">
        <is>
          <t>VÄSTERVIK</t>
        </is>
      </c>
      <c r="F310" t="inlineStr">
        <is>
          <t>Sveaskog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47435-2019</t>
        </is>
      </c>
      <c r="B311" s="1" t="n">
        <v>43723</v>
      </c>
      <c r="C311" s="1" t="n">
        <v>45175</v>
      </c>
      <c r="D311" t="inlineStr">
        <is>
          <t>KALMAR LÄN</t>
        </is>
      </c>
      <c r="E311" t="inlineStr">
        <is>
          <t>VÄSTERVIK</t>
        </is>
      </c>
      <c r="F311" t="inlineStr">
        <is>
          <t>Sveaskog</t>
        </is>
      </c>
      <c r="G311" t="n">
        <v>2.5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47954-2019</t>
        </is>
      </c>
      <c r="B312" s="1" t="n">
        <v>43725</v>
      </c>
      <c r="C312" s="1" t="n">
        <v>45175</v>
      </c>
      <c r="D312" t="inlineStr">
        <is>
          <t>KALMAR LÄN</t>
        </is>
      </c>
      <c r="E312" t="inlineStr">
        <is>
          <t>VÄSTERVIK</t>
        </is>
      </c>
      <c r="G312" t="n">
        <v>6.8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47956-2019</t>
        </is>
      </c>
      <c r="B313" s="1" t="n">
        <v>43725</v>
      </c>
      <c r="C313" s="1" t="n">
        <v>45175</v>
      </c>
      <c r="D313" t="inlineStr">
        <is>
          <t>KALMAR LÄN</t>
        </is>
      </c>
      <c r="E313" t="inlineStr">
        <is>
          <t>VÄSTERVIK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48357-2019</t>
        </is>
      </c>
      <c r="B314" s="1" t="n">
        <v>43726</v>
      </c>
      <c r="C314" s="1" t="n">
        <v>45175</v>
      </c>
      <c r="D314" t="inlineStr">
        <is>
          <t>KALMAR LÄN</t>
        </is>
      </c>
      <c r="E314" t="inlineStr">
        <is>
          <t>VÄSTERVIK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48983-2019</t>
        </is>
      </c>
      <c r="B315" s="1" t="n">
        <v>43729</v>
      </c>
      <c r="C315" s="1" t="n">
        <v>45175</v>
      </c>
      <c r="D315" t="inlineStr">
        <is>
          <t>KALMAR LÄN</t>
        </is>
      </c>
      <c r="E315" t="inlineStr">
        <is>
          <t>VÄSTERVIK</t>
        </is>
      </c>
      <c r="F315" t="inlineStr">
        <is>
          <t>Sveaskog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48982-2019</t>
        </is>
      </c>
      <c r="B316" s="1" t="n">
        <v>43729</v>
      </c>
      <c r="C316" s="1" t="n">
        <v>45175</v>
      </c>
      <c r="D316" t="inlineStr">
        <is>
          <t>KALMAR LÄN</t>
        </is>
      </c>
      <c r="E316" t="inlineStr">
        <is>
          <t>VÄSTERVIK</t>
        </is>
      </c>
      <c r="F316" t="inlineStr">
        <is>
          <t>Sveaskog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48981-2019</t>
        </is>
      </c>
      <c r="B317" s="1" t="n">
        <v>43729</v>
      </c>
      <c r="C317" s="1" t="n">
        <v>45175</v>
      </c>
      <c r="D317" t="inlineStr">
        <is>
          <t>KALMAR LÄN</t>
        </is>
      </c>
      <c r="E317" t="inlineStr">
        <is>
          <t>VÄSTERVIK</t>
        </is>
      </c>
      <c r="F317" t="inlineStr">
        <is>
          <t>Sveaskog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50461-2019</t>
        </is>
      </c>
      <c r="B318" s="1" t="n">
        <v>43735</v>
      </c>
      <c r="C318" s="1" t="n">
        <v>45175</v>
      </c>
      <c r="D318" t="inlineStr">
        <is>
          <t>KALMAR LÄN</t>
        </is>
      </c>
      <c r="E318" t="inlineStr">
        <is>
          <t>VÄSTERVIK</t>
        </is>
      </c>
      <c r="G318" t="n">
        <v>5.1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50626-2019</t>
        </is>
      </c>
      <c r="B319" s="1" t="n">
        <v>43736</v>
      </c>
      <c r="C319" s="1" t="n">
        <v>45175</v>
      </c>
      <c r="D319" t="inlineStr">
        <is>
          <t>KALMAR LÄN</t>
        </is>
      </c>
      <c r="E319" t="inlineStr">
        <is>
          <t>VÄSTERVIK</t>
        </is>
      </c>
      <c r="F319" t="inlineStr">
        <is>
          <t>Sveaskog</t>
        </is>
      </c>
      <c r="G319" t="n">
        <v>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50627-2019</t>
        </is>
      </c>
      <c r="B320" s="1" t="n">
        <v>43736</v>
      </c>
      <c r="C320" s="1" t="n">
        <v>45175</v>
      </c>
      <c r="D320" t="inlineStr">
        <is>
          <t>KALMAR LÄN</t>
        </is>
      </c>
      <c r="E320" t="inlineStr">
        <is>
          <t>VÄSTERVIK</t>
        </is>
      </c>
      <c r="F320" t="inlineStr">
        <is>
          <t>Sveaskog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51408-2019</t>
        </is>
      </c>
      <c r="B321" s="1" t="n">
        <v>43740</v>
      </c>
      <c r="C321" s="1" t="n">
        <v>45175</v>
      </c>
      <c r="D321" t="inlineStr">
        <is>
          <t>KALMAR LÄN</t>
        </is>
      </c>
      <c r="E321" t="inlineStr">
        <is>
          <t>VÄSTERVIK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52292-2019</t>
        </is>
      </c>
      <c r="B322" s="1" t="n">
        <v>43744</v>
      </c>
      <c r="C322" s="1" t="n">
        <v>45175</v>
      </c>
      <c r="D322" t="inlineStr">
        <is>
          <t>KALMAR LÄN</t>
        </is>
      </c>
      <c r="E322" t="inlineStr">
        <is>
          <t>VÄSTERVIK</t>
        </is>
      </c>
      <c r="F322" t="inlineStr">
        <is>
          <t>Sveaskog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52527-2019</t>
        </is>
      </c>
      <c r="B323" s="1" t="n">
        <v>43745</v>
      </c>
      <c r="C323" s="1" t="n">
        <v>45175</v>
      </c>
      <c r="D323" t="inlineStr">
        <is>
          <t>KALMAR LÄN</t>
        </is>
      </c>
      <c r="E323" t="inlineStr">
        <is>
          <t>VÄSTERVIK</t>
        </is>
      </c>
      <c r="G323" t="n">
        <v>0.3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53714-2019</t>
        </is>
      </c>
      <c r="B324" s="1" t="n">
        <v>43749</v>
      </c>
      <c r="C324" s="1" t="n">
        <v>45175</v>
      </c>
      <c r="D324" t="inlineStr">
        <is>
          <t>KALMAR LÄN</t>
        </is>
      </c>
      <c r="E324" t="inlineStr">
        <is>
          <t>VÄSTERVIK</t>
        </is>
      </c>
      <c r="F324" t="inlineStr">
        <is>
          <t>Holmen skog AB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53546-2019</t>
        </is>
      </c>
      <c r="B325" s="1" t="n">
        <v>43749</v>
      </c>
      <c r="C325" s="1" t="n">
        <v>45175</v>
      </c>
      <c r="D325" t="inlineStr">
        <is>
          <t>KALMAR LÄN</t>
        </is>
      </c>
      <c r="E325" t="inlineStr">
        <is>
          <t>VÄSTERVIK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54597-2019</t>
        </is>
      </c>
      <c r="B326" s="1" t="n">
        <v>43754</v>
      </c>
      <c r="C326" s="1" t="n">
        <v>45175</v>
      </c>
      <c r="D326" t="inlineStr">
        <is>
          <t>KALMAR LÄN</t>
        </is>
      </c>
      <c r="E326" t="inlineStr">
        <is>
          <t>VÄSTERVIK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57650-2019</t>
        </is>
      </c>
      <c r="B327" s="1" t="n">
        <v>43761</v>
      </c>
      <c r="C327" s="1" t="n">
        <v>45175</v>
      </c>
      <c r="D327" t="inlineStr">
        <is>
          <t>KALMAR LÄN</t>
        </is>
      </c>
      <c r="E327" t="inlineStr">
        <is>
          <t>VÄSTERVIK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57654-2019</t>
        </is>
      </c>
      <c r="B328" s="1" t="n">
        <v>43761</v>
      </c>
      <c r="C328" s="1" t="n">
        <v>45175</v>
      </c>
      <c r="D328" t="inlineStr">
        <is>
          <t>KALMAR LÄN</t>
        </is>
      </c>
      <c r="E328" t="inlineStr">
        <is>
          <t>VÄSTERVIK</t>
        </is>
      </c>
      <c r="G328" t="n">
        <v>8.800000000000001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57770-2019</t>
        </is>
      </c>
      <c r="B329" s="1" t="n">
        <v>43768</v>
      </c>
      <c r="C329" s="1" t="n">
        <v>45175</v>
      </c>
      <c r="D329" t="inlineStr">
        <is>
          <t>KALMAR LÄN</t>
        </is>
      </c>
      <c r="E329" t="inlineStr">
        <is>
          <t>VÄSTERVIK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58323-2019</t>
        </is>
      </c>
      <c r="B330" s="1" t="n">
        <v>43770</v>
      </c>
      <c r="C330" s="1" t="n">
        <v>45175</v>
      </c>
      <c r="D330" t="inlineStr">
        <is>
          <t>KALMAR LÄN</t>
        </is>
      </c>
      <c r="E330" t="inlineStr">
        <is>
          <t>VÄSTERVIK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58386-2019</t>
        </is>
      </c>
      <c r="B331" s="1" t="n">
        <v>43772</v>
      </c>
      <c r="C331" s="1" t="n">
        <v>45175</v>
      </c>
      <c r="D331" t="inlineStr">
        <is>
          <t>KALMAR LÄN</t>
        </is>
      </c>
      <c r="E331" t="inlineStr">
        <is>
          <t>VÄSTERVIK</t>
        </is>
      </c>
      <c r="F331" t="inlineStr">
        <is>
          <t>Sveaskog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58658-2019</t>
        </is>
      </c>
      <c r="B332" s="1" t="n">
        <v>43773</v>
      </c>
      <c r="C332" s="1" t="n">
        <v>45175</v>
      </c>
      <c r="D332" t="inlineStr">
        <is>
          <t>KALMAR LÄN</t>
        </is>
      </c>
      <c r="E332" t="inlineStr">
        <is>
          <t>VÄSTERVIK</t>
        </is>
      </c>
      <c r="F332" t="inlineStr">
        <is>
          <t>Kyrkan</t>
        </is>
      </c>
      <c r="G332" t="n">
        <v>2.9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59753-2019</t>
        </is>
      </c>
      <c r="B333" s="1" t="n">
        <v>43776</v>
      </c>
      <c r="C333" s="1" t="n">
        <v>45175</v>
      </c>
      <c r="D333" t="inlineStr">
        <is>
          <t>KALMAR LÄN</t>
        </is>
      </c>
      <c r="E333" t="inlineStr">
        <is>
          <t>VÄSTERVIK</t>
        </is>
      </c>
      <c r="F333" t="inlineStr">
        <is>
          <t>Sveaskog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59892-2019</t>
        </is>
      </c>
      <c r="B334" s="1" t="n">
        <v>43777</v>
      </c>
      <c r="C334" s="1" t="n">
        <v>45175</v>
      </c>
      <c r="D334" t="inlineStr">
        <is>
          <t>KALMAR LÄN</t>
        </is>
      </c>
      <c r="E334" t="inlineStr">
        <is>
          <t>VÄSTERVIK</t>
        </is>
      </c>
      <c r="G334" t="n">
        <v>9.199999999999999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59898-2019</t>
        </is>
      </c>
      <c r="B335" s="1" t="n">
        <v>43777</v>
      </c>
      <c r="C335" s="1" t="n">
        <v>45175</v>
      </c>
      <c r="D335" t="inlineStr">
        <is>
          <t>KALMAR LÄN</t>
        </is>
      </c>
      <c r="E335" t="inlineStr">
        <is>
          <t>VÄSTERVIK</t>
        </is>
      </c>
      <c r="G335" t="n">
        <v>3.6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60707-2019</t>
        </is>
      </c>
      <c r="B336" s="1" t="n">
        <v>43781</v>
      </c>
      <c r="C336" s="1" t="n">
        <v>45175</v>
      </c>
      <c r="D336" t="inlineStr">
        <is>
          <t>KALMAR LÄN</t>
        </is>
      </c>
      <c r="E336" t="inlineStr">
        <is>
          <t>VÄSTERVIK</t>
        </is>
      </c>
      <c r="F336" t="inlineStr">
        <is>
          <t>Sveaskog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61055-2019</t>
        </is>
      </c>
      <c r="B337" s="1" t="n">
        <v>43782</v>
      </c>
      <c r="C337" s="1" t="n">
        <v>45175</v>
      </c>
      <c r="D337" t="inlineStr">
        <is>
          <t>KALMAR LÄN</t>
        </is>
      </c>
      <c r="E337" t="inlineStr">
        <is>
          <t>VÄSTERVIK</t>
        </is>
      </c>
      <c r="G337" t="n">
        <v>2.8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61708-2019</t>
        </is>
      </c>
      <c r="B338" s="1" t="n">
        <v>43784</v>
      </c>
      <c r="C338" s="1" t="n">
        <v>45175</v>
      </c>
      <c r="D338" t="inlineStr">
        <is>
          <t>KALMAR LÄN</t>
        </is>
      </c>
      <c r="E338" t="inlineStr">
        <is>
          <t>VÄSTERVIK</t>
        </is>
      </c>
      <c r="F338" t="inlineStr">
        <is>
          <t>Holmen skog AB</t>
        </is>
      </c>
      <c r="G338" t="n">
        <v>3.4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62093-2019</t>
        </is>
      </c>
      <c r="B339" s="1" t="n">
        <v>43787</v>
      </c>
      <c r="C339" s="1" t="n">
        <v>45175</v>
      </c>
      <c r="D339" t="inlineStr">
        <is>
          <t>KALMAR LÄN</t>
        </is>
      </c>
      <c r="E339" t="inlineStr">
        <is>
          <t>VÄSTERVIK</t>
        </is>
      </c>
      <c r="F339" t="inlineStr">
        <is>
          <t>Holmen skog AB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62046-2019</t>
        </is>
      </c>
      <c r="B340" s="1" t="n">
        <v>43787</v>
      </c>
      <c r="C340" s="1" t="n">
        <v>45175</v>
      </c>
      <c r="D340" t="inlineStr">
        <is>
          <t>KALMAR LÄN</t>
        </is>
      </c>
      <c r="E340" t="inlineStr">
        <is>
          <t>VÄSTERVIK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62473-2019</t>
        </is>
      </c>
      <c r="B341" s="1" t="n">
        <v>43788</v>
      </c>
      <c r="C341" s="1" t="n">
        <v>45175</v>
      </c>
      <c r="D341" t="inlineStr">
        <is>
          <t>KALMAR LÄN</t>
        </is>
      </c>
      <c r="E341" t="inlineStr">
        <is>
          <t>VÄSTERVIK</t>
        </is>
      </c>
      <c r="F341" t="inlineStr">
        <is>
          <t>Holmen skog AB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62660-2019</t>
        </is>
      </c>
      <c r="B342" s="1" t="n">
        <v>43789</v>
      </c>
      <c r="C342" s="1" t="n">
        <v>45175</v>
      </c>
      <c r="D342" t="inlineStr">
        <is>
          <t>KALMAR LÄN</t>
        </is>
      </c>
      <c r="E342" t="inlineStr">
        <is>
          <t>VÄSTERVIK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63090-2019</t>
        </is>
      </c>
      <c r="B343" s="1" t="n">
        <v>43791</v>
      </c>
      <c r="C343" s="1" t="n">
        <v>45175</v>
      </c>
      <c r="D343" t="inlineStr">
        <is>
          <t>KALMAR LÄN</t>
        </is>
      </c>
      <c r="E343" t="inlineStr">
        <is>
          <t>VÄSTERVIK</t>
        </is>
      </c>
      <c r="F343" t="inlineStr">
        <is>
          <t>Övriga Aktiebolag</t>
        </is>
      </c>
      <c r="G343" t="n">
        <v>5.8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63385-2019</t>
        </is>
      </c>
      <c r="B344" s="1" t="n">
        <v>43794</v>
      </c>
      <c r="C344" s="1" t="n">
        <v>45175</v>
      </c>
      <c r="D344" t="inlineStr">
        <is>
          <t>KALMAR LÄN</t>
        </is>
      </c>
      <c r="E344" t="inlineStr">
        <is>
          <t>VÄSTERVIK</t>
        </is>
      </c>
      <c r="G344" t="n">
        <v>5.1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64610-2019</t>
        </is>
      </c>
      <c r="B345" s="1" t="n">
        <v>43798</v>
      </c>
      <c r="C345" s="1" t="n">
        <v>45175</v>
      </c>
      <c r="D345" t="inlineStr">
        <is>
          <t>KALMAR LÄN</t>
        </is>
      </c>
      <c r="E345" t="inlineStr">
        <is>
          <t>VÄSTERVIK</t>
        </is>
      </c>
      <c r="F345" t="inlineStr">
        <is>
          <t>Holmen skog AB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65604-2019</t>
        </is>
      </c>
      <c r="B346" s="1" t="n">
        <v>43804</v>
      </c>
      <c r="C346" s="1" t="n">
        <v>45175</v>
      </c>
      <c r="D346" t="inlineStr">
        <is>
          <t>KALMAR LÄN</t>
        </is>
      </c>
      <c r="E346" t="inlineStr">
        <is>
          <t>VÄSTERVIK</t>
        </is>
      </c>
      <c r="G346" t="n">
        <v>3.8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66743-2019</t>
        </is>
      </c>
      <c r="B347" s="1" t="n">
        <v>43804</v>
      </c>
      <c r="C347" s="1" t="n">
        <v>45175</v>
      </c>
      <c r="D347" t="inlineStr">
        <is>
          <t>KALMAR LÄN</t>
        </is>
      </c>
      <c r="E347" t="inlineStr">
        <is>
          <t>VÄSTERVIK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  <c r="U347">
        <f>HYPERLINK("https://klasma.github.io/Logging_VASTERVIK/knärot/A 66743-2019.png")</f>
        <v/>
      </c>
      <c r="V347">
        <f>HYPERLINK("https://klasma.github.io/Logging_VASTERVIK/klagomål/A 66743-2019.docx")</f>
        <v/>
      </c>
      <c r="W347">
        <f>HYPERLINK("https://klasma.github.io/Logging_VASTERVIK/klagomålsmail/A 66743-2019.docx")</f>
        <v/>
      </c>
      <c r="X347">
        <f>HYPERLINK("https://klasma.github.io/Logging_VASTERVIK/tillsyn/A 66743-2019.docx")</f>
        <v/>
      </c>
      <c r="Y347">
        <f>HYPERLINK("https://klasma.github.io/Logging_VASTERVIK/tillsynsmail/A 66743-2019.docx")</f>
        <v/>
      </c>
    </row>
    <row r="348" ht="15" customHeight="1">
      <c r="A348" t="inlineStr">
        <is>
          <t>A 66279-2019</t>
        </is>
      </c>
      <c r="B348" s="1" t="n">
        <v>43808</v>
      </c>
      <c r="C348" s="1" t="n">
        <v>45175</v>
      </c>
      <c r="D348" t="inlineStr">
        <is>
          <t>KALMAR LÄN</t>
        </is>
      </c>
      <c r="E348" t="inlineStr">
        <is>
          <t>VÄSTERVIK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67407-2019</t>
        </is>
      </c>
      <c r="B349" s="1" t="n">
        <v>43812</v>
      </c>
      <c r="C349" s="1" t="n">
        <v>45175</v>
      </c>
      <c r="D349" t="inlineStr">
        <is>
          <t>KALMAR LÄN</t>
        </is>
      </c>
      <c r="E349" t="inlineStr">
        <is>
          <t>VÄSTERVIK</t>
        </is>
      </c>
      <c r="F349" t="inlineStr">
        <is>
          <t>Holmen skog AB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68494-2019</t>
        </is>
      </c>
      <c r="B350" s="1" t="n">
        <v>43818</v>
      </c>
      <c r="C350" s="1" t="n">
        <v>45175</v>
      </c>
      <c r="D350" t="inlineStr">
        <is>
          <t>KALMAR LÄN</t>
        </is>
      </c>
      <c r="E350" t="inlineStr">
        <is>
          <t>VÄSTERVIK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68764-2019</t>
        </is>
      </c>
      <c r="B351" s="1" t="n">
        <v>43819</v>
      </c>
      <c r="C351" s="1" t="n">
        <v>45175</v>
      </c>
      <c r="D351" t="inlineStr">
        <is>
          <t>KALMAR LÄN</t>
        </is>
      </c>
      <c r="E351" t="inlineStr">
        <is>
          <t>VÄSTERVIK</t>
        </is>
      </c>
      <c r="F351" t="inlineStr">
        <is>
          <t>Holmen skog AB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483-2020</t>
        </is>
      </c>
      <c r="B352" s="1" t="n">
        <v>43837</v>
      </c>
      <c r="C352" s="1" t="n">
        <v>45175</v>
      </c>
      <c r="D352" t="inlineStr">
        <is>
          <t>KALMAR LÄN</t>
        </is>
      </c>
      <c r="E352" t="inlineStr">
        <is>
          <t>VÄSTERVIK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776-2020</t>
        </is>
      </c>
      <c r="B353" s="1" t="n">
        <v>43838</v>
      </c>
      <c r="C353" s="1" t="n">
        <v>45175</v>
      </c>
      <c r="D353" t="inlineStr">
        <is>
          <t>KALMAR LÄN</t>
        </is>
      </c>
      <c r="E353" t="inlineStr">
        <is>
          <t>VÄSTERVIK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1989-2020</t>
        </is>
      </c>
      <c r="B354" s="1" t="n">
        <v>43838</v>
      </c>
      <c r="C354" s="1" t="n">
        <v>45175</v>
      </c>
      <c r="D354" t="inlineStr">
        <is>
          <t>KALMAR LÄN</t>
        </is>
      </c>
      <c r="E354" t="inlineStr">
        <is>
          <t>VÄSTERVIK</t>
        </is>
      </c>
      <c r="G354" t="n">
        <v>3.7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2494-2020</t>
        </is>
      </c>
      <c r="B355" s="1" t="n">
        <v>43847</v>
      </c>
      <c r="C355" s="1" t="n">
        <v>45175</v>
      </c>
      <c r="D355" t="inlineStr">
        <is>
          <t>KALMAR LÄN</t>
        </is>
      </c>
      <c r="E355" t="inlineStr">
        <is>
          <t>VÄSTERVIK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3739-2020</t>
        </is>
      </c>
      <c r="B356" s="1" t="n">
        <v>43853</v>
      </c>
      <c r="C356" s="1" t="n">
        <v>45175</v>
      </c>
      <c r="D356" t="inlineStr">
        <is>
          <t>KALMAR LÄN</t>
        </is>
      </c>
      <c r="E356" t="inlineStr">
        <is>
          <t>VÄSTERVIK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3934-2020</t>
        </is>
      </c>
      <c r="B357" s="1" t="n">
        <v>43854</v>
      </c>
      <c r="C357" s="1" t="n">
        <v>45175</v>
      </c>
      <c r="D357" t="inlineStr">
        <is>
          <t>KALMAR LÄN</t>
        </is>
      </c>
      <c r="E357" t="inlineStr">
        <is>
          <t>VÄSTERVIK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4939-2020</t>
        </is>
      </c>
      <c r="B358" s="1" t="n">
        <v>43859</v>
      </c>
      <c r="C358" s="1" t="n">
        <v>45175</v>
      </c>
      <c r="D358" t="inlineStr">
        <is>
          <t>KALMAR LÄN</t>
        </is>
      </c>
      <c r="E358" t="inlineStr">
        <is>
          <t>VÄSTERVIK</t>
        </is>
      </c>
      <c r="F358" t="inlineStr">
        <is>
          <t>Holmen skog AB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4992-2020</t>
        </is>
      </c>
      <c r="B359" s="1" t="n">
        <v>43859</v>
      </c>
      <c r="C359" s="1" t="n">
        <v>45175</v>
      </c>
      <c r="D359" t="inlineStr">
        <is>
          <t>KALMAR LÄN</t>
        </is>
      </c>
      <c r="E359" t="inlineStr">
        <is>
          <t>VÄSTERVIK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4954-2020</t>
        </is>
      </c>
      <c r="B360" s="1" t="n">
        <v>43859</v>
      </c>
      <c r="C360" s="1" t="n">
        <v>45175</v>
      </c>
      <c r="D360" t="inlineStr">
        <is>
          <t>KALMAR LÄN</t>
        </is>
      </c>
      <c r="E360" t="inlineStr">
        <is>
          <t>VÄSTERVIK</t>
        </is>
      </c>
      <c r="F360" t="inlineStr">
        <is>
          <t>Holmen skog AB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4786-2020</t>
        </is>
      </c>
      <c r="B361" s="1" t="n">
        <v>43859</v>
      </c>
      <c r="C361" s="1" t="n">
        <v>45175</v>
      </c>
      <c r="D361" t="inlineStr">
        <is>
          <t>KALMAR LÄN</t>
        </is>
      </c>
      <c r="E361" t="inlineStr">
        <is>
          <t>VÄSTERVIK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5629-2020</t>
        </is>
      </c>
      <c r="B362" s="1" t="n">
        <v>43860</v>
      </c>
      <c r="C362" s="1" t="n">
        <v>45175</v>
      </c>
      <c r="D362" t="inlineStr">
        <is>
          <t>KALMAR LÄN</t>
        </is>
      </c>
      <c r="E362" t="inlineStr">
        <is>
          <t>VÄSTERVIK</t>
        </is>
      </c>
      <c r="G362" t="n">
        <v>3.8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5637-2020</t>
        </is>
      </c>
      <c r="B363" s="1" t="n">
        <v>43860</v>
      </c>
      <c r="C363" s="1" t="n">
        <v>45175</v>
      </c>
      <c r="D363" t="inlineStr">
        <is>
          <t>KALMAR LÄN</t>
        </is>
      </c>
      <c r="E363" t="inlineStr">
        <is>
          <t>VÄSTERVIK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5622-2020</t>
        </is>
      </c>
      <c r="B364" s="1" t="n">
        <v>43860</v>
      </c>
      <c r="C364" s="1" t="n">
        <v>45175</v>
      </c>
      <c r="D364" t="inlineStr">
        <is>
          <t>KALMAR LÄN</t>
        </is>
      </c>
      <c r="E364" t="inlineStr">
        <is>
          <t>VÄSTERVIK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5594-2020</t>
        </is>
      </c>
      <c r="B365" s="1" t="n">
        <v>43861</v>
      </c>
      <c r="C365" s="1" t="n">
        <v>45175</v>
      </c>
      <c r="D365" t="inlineStr">
        <is>
          <t>KALMAR LÄN</t>
        </is>
      </c>
      <c r="E365" t="inlineStr">
        <is>
          <t>VÄSTERVIK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5697-2020</t>
        </is>
      </c>
      <c r="B366" s="1" t="n">
        <v>43861</v>
      </c>
      <c r="C366" s="1" t="n">
        <v>45175</v>
      </c>
      <c r="D366" t="inlineStr">
        <is>
          <t>KALMAR LÄN</t>
        </is>
      </c>
      <c r="E366" t="inlineStr">
        <is>
          <t>VÄSTERVIK</t>
        </is>
      </c>
      <c r="F366" t="inlineStr">
        <is>
          <t>Holmen skog AB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5583-2020</t>
        </is>
      </c>
      <c r="B367" s="1" t="n">
        <v>43861</v>
      </c>
      <c r="C367" s="1" t="n">
        <v>45175</v>
      </c>
      <c r="D367" t="inlineStr">
        <is>
          <t>KALMAR LÄN</t>
        </is>
      </c>
      <c r="E367" t="inlineStr">
        <is>
          <t>VÄSTERVIK</t>
        </is>
      </c>
      <c r="F367" t="inlineStr">
        <is>
          <t>Holmen skog AB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5822-2020</t>
        </is>
      </c>
      <c r="B368" s="1" t="n">
        <v>43864</v>
      </c>
      <c r="C368" s="1" t="n">
        <v>45175</v>
      </c>
      <c r="D368" t="inlineStr">
        <is>
          <t>KALMAR LÄN</t>
        </is>
      </c>
      <c r="E368" t="inlineStr">
        <is>
          <t>VÄSTERVIK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6425-2020</t>
        </is>
      </c>
      <c r="B369" s="1" t="n">
        <v>43865</v>
      </c>
      <c r="C369" s="1" t="n">
        <v>45175</v>
      </c>
      <c r="D369" t="inlineStr">
        <is>
          <t>KALMAR LÄN</t>
        </is>
      </c>
      <c r="E369" t="inlineStr">
        <is>
          <t>VÄSTERVIK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7290-2020</t>
        </is>
      </c>
      <c r="B370" s="1" t="n">
        <v>43871</v>
      </c>
      <c r="C370" s="1" t="n">
        <v>45175</v>
      </c>
      <c r="D370" t="inlineStr">
        <is>
          <t>KALMAR LÄN</t>
        </is>
      </c>
      <c r="E370" t="inlineStr">
        <is>
          <t>VÄSTERVIK</t>
        </is>
      </c>
      <c r="F370" t="inlineStr">
        <is>
          <t>Holmen skog AB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7660-2020</t>
        </is>
      </c>
      <c r="B371" s="1" t="n">
        <v>43872</v>
      </c>
      <c r="C371" s="1" t="n">
        <v>45175</v>
      </c>
      <c r="D371" t="inlineStr">
        <is>
          <t>KALMAR LÄN</t>
        </is>
      </c>
      <c r="E371" t="inlineStr">
        <is>
          <t>VÄSTERVIK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7727-2020</t>
        </is>
      </c>
      <c r="B372" s="1" t="n">
        <v>43872</v>
      </c>
      <c r="C372" s="1" t="n">
        <v>45175</v>
      </c>
      <c r="D372" t="inlineStr">
        <is>
          <t>KALMAR LÄN</t>
        </is>
      </c>
      <c r="E372" t="inlineStr">
        <is>
          <t>VÄSTERVIK</t>
        </is>
      </c>
      <c r="F372" t="inlineStr">
        <is>
          <t>Holmen skog AB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8075-2020</t>
        </is>
      </c>
      <c r="B373" s="1" t="n">
        <v>43874</v>
      </c>
      <c r="C373" s="1" t="n">
        <v>45175</v>
      </c>
      <c r="D373" t="inlineStr">
        <is>
          <t>KALMAR LÄN</t>
        </is>
      </c>
      <c r="E373" t="inlineStr">
        <is>
          <t>VÄSTERVIK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8072-2020</t>
        </is>
      </c>
      <c r="B374" s="1" t="n">
        <v>43874</v>
      </c>
      <c r="C374" s="1" t="n">
        <v>45175</v>
      </c>
      <c r="D374" t="inlineStr">
        <is>
          <t>KALMAR LÄN</t>
        </is>
      </c>
      <c r="E374" t="inlineStr">
        <is>
          <t>VÄSTERVIK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9168-2020</t>
        </is>
      </c>
      <c r="B375" s="1" t="n">
        <v>43879</v>
      </c>
      <c r="C375" s="1" t="n">
        <v>45175</v>
      </c>
      <c r="D375" t="inlineStr">
        <is>
          <t>KALMAR LÄN</t>
        </is>
      </c>
      <c r="E375" t="inlineStr">
        <is>
          <t>VÄSTERVIK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9332-2020</t>
        </is>
      </c>
      <c r="B376" s="1" t="n">
        <v>43880</v>
      </c>
      <c r="C376" s="1" t="n">
        <v>45175</v>
      </c>
      <c r="D376" t="inlineStr">
        <is>
          <t>KALMAR LÄN</t>
        </is>
      </c>
      <c r="E376" t="inlineStr">
        <is>
          <t>VÄSTERVIK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10373-2020</t>
        </is>
      </c>
      <c r="B377" s="1" t="n">
        <v>43885</v>
      </c>
      <c r="C377" s="1" t="n">
        <v>45175</v>
      </c>
      <c r="D377" t="inlineStr">
        <is>
          <t>KALMAR LÄN</t>
        </is>
      </c>
      <c r="E377" t="inlineStr">
        <is>
          <t>VÄSTERVIK</t>
        </is>
      </c>
      <c r="F377" t="inlineStr">
        <is>
          <t>Kyrkan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11067-2020</t>
        </is>
      </c>
      <c r="B378" s="1" t="n">
        <v>43885</v>
      </c>
      <c r="C378" s="1" t="n">
        <v>45175</v>
      </c>
      <c r="D378" t="inlineStr">
        <is>
          <t>KALMAR LÄN</t>
        </is>
      </c>
      <c r="E378" t="inlineStr">
        <is>
          <t>VÄSTERVIK</t>
        </is>
      </c>
      <c r="F378" t="inlineStr">
        <is>
          <t>Övriga Aktiebolag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11253-2020</t>
        </is>
      </c>
      <c r="B379" s="1" t="n">
        <v>43892</v>
      </c>
      <c r="C379" s="1" t="n">
        <v>45175</v>
      </c>
      <c r="D379" t="inlineStr">
        <is>
          <t>KALMAR LÄN</t>
        </is>
      </c>
      <c r="E379" t="inlineStr">
        <is>
          <t>VÄSTERVIK</t>
        </is>
      </c>
      <c r="F379" t="inlineStr">
        <is>
          <t>Övriga Aktiebolag</t>
        </is>
      </c>
      <c r="G379" t="n">
        <v>4.6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11255-2020</t>
        </is>
      </c>
      <c r="B380" s="1" t="n">
        <v>43892</v>
      </c>
      <c r="C380" s="1" t="n">
        <v>45175</v>
      </c>
      <c r="D380" t="inlineStr">
        <is>
          <t>KALMAR LÄN</t>
        </is>
      </c>
      <c r="E380" t="inlineStr">
        <is>
          <t>VÄSTERVIK</t>
        </is>
      </c>
      <c r="F380" t="inlineStr">
        <is>
          <t>Övriga Aktiebolag</t>
        </is>
      </c>
      <c r="G380" t="n">
        <v>2.8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12430-2020</t>
        </is>
      </c>
      <c r="B381" s="1" t="n">
        <v>43896</v>
      </c>
      <c r="C381" s="1" t="n">
        <v>45175</v>
      </c>
      <c r="D381" t="inlineStr">
        <is>
          <t>KALMAR LÄN</t>
        </is>
      </c>
      <c r="E381" t="inlineStr">
        <is>
          <t>VÄSTERVIK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13514-2020</t>
        </is>
      </c>
      <c r="B382" s="1" t="n">
        <v>43902</v>
      </c>
      <c r="C382" s="1" t="n">
        <v>45175</v>
      </c>
      <c r="D382" t="inlineStr">
        <is>
          <t>KALMAR LÄN</t>
        </is>
      </c>
      <c r="E382" t="inlineStr">
        <is>
          <t>VÄSTERVIK</t>
        </is>
      </c>
      <c r="F382" t="inlineStr">
        <is>
          <t>Holmen skog AB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13526-2020</t>
        </is>
      </c>
      <c r="B383" s="1" t="n">
        <v>43902</v>
      </c>
      <c r="C383" s="1" t="n">
        <v>45175</v>
      </c>
      <c r="D383" t="inlineStr">
        <is>
          <t>KALMAR LÄN</t>
        </is>
      </c>
      <c r="E383" t="inlineStr">
        <is>
          <t>VÄSTERVIK</t>
        </is>
      </c>
      <c r="F383" t="inlineStr">
        <is>
          <t>Holmen skog AB</t>
        </is>
      </c>
      <c r="G383" t="n">
        <v>18.6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13523-2020</t>
        </is>
      </c>
      <c r="B384" s="1" t="n">
        <v>43902</v>
      </c>
      <c r="C384" s="1" t="n">
        <v>45175</v>
      </c>
      <c r="D384" t="inlineStr">
        <is>
          <t>KALMAR LÄN</t>
        </is>
      </c>
      <c r="E384" t="inlineStr">
        <is>
          <t>VÄSTERVIK</t>
        </is>
      </c>
      <c r="F384" t="inlineStr">
        <is>
          <t>Holmen skog AB</t>
        </is>
      </c>
      <c r="G384" t="n">
        <v>3.8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14889-2020</t>
        </is>
      </c>
      <c r="B385" s="1" t="n">
        <v>43906</v>
      </c>
      <c r="C385" s="1" t="n">
        <v>45175</v>
      </c>
      <c r="D385" t="inlineStr">
        <is>
          <t>KALMAR LÄN</t>
        </is>
      </c>
      <c r="E385" t="inlineStr">
        <is>
          <t>VÄSTERVIK</t>
        </is>
      </c>
      <c r="G385" t="n">
        <v>2.4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14891-2020</t>
        </is>
      </c>
      <c r="B386" s="1" t="n">
        <v>43906</v>
      </c>
      <c r="C386" s="1" t="n">
        <v>45175</v>
      </c>
      <c r="D386" t="inlineStr">
        <is>
          <t>KALMAR LÄN</t>
        </is>
      </c>
      <c r="E386" t="inlineStr">
        <is>
          <t>VÄSTERVIK</t>
        </is>
      </c>
      <c r="G386" t="n">
        <v>1.6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14887-2020</t>
        </is>
      </c>
      <c r="B387" s="1" t="n">
        <v>43906</v>
      </c>
      <c r="C387" s="1" t="n">
        <v>45175</v>
      </c>
      <c r="D387" t="inlineStr">
        <is>
          <t>KALMAR LÄN</t>
        </is>
      </c>
      <c r="E387" t="inlineStr">
        <is>
          <t>VÄSTERVIK</t>
        </is>
      </c>
      <c r="G387" t="n">
        <v>3.3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14456-2020</t>
        </is>
      </c>
      <c r="B388" s="1" t="n">
        <v>43908</v>
      </c>
      <c r="C388" s="1" t="n">
        <v>45175</v>
      </c>
      <c r="D388" t="inlineStr">
        <is>
          <t>KALMAR LÄN</t>
        </is>
      </c>
      <c r="E388" t="inlineStr">
        <is>
          <t>VÄSTERVIK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16580-2020</t>
        </is>
      </c>
      <c r="B389" s="1" t="n">
        <v>43908</v>
      </c>
      <c r="C389" s="1" t="n">
        <v>45175</v>
      </c>
      <c r="D389" t="inlineStr">
        <is>
          <t>KALMAR LÄN</t>
        </is>
      </c>
      <c r="E389" t="inlineStr">
        <is>
          <t>VÄSTERVIK</t>
        </is>
      </c>
      <c r="F389" t="inlineStr">
        <is>
          <t>Övriga Aktiebolag</t>
        </is>
      </c>
      <c r="G389" t="n">
        <v>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19422-2020</t>
        </is>
      </c>
      <c r="B390" s="1" t="n">
        <v>43938</v>
      </c>
      <c r="C390" s="1" t="n">
        <v>45175</v>
      </c>
      <c r="D390" t="inlineStr">
        <is>
          <t>KALMAR LÄN</t>
        </is>
      </c>
      <c r="E390" t="inlineStr">
        <is>
          <t>VÄSTERVIK</t>
        </is>
      </c>
      <c r="F390" t="inlineStr">
        <is>
          <t>Holmen skog AB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19437-2020</t>
        </is>
      </c>
      <c r="B391" s="1" t="n">
        <v>43938</v>
      </c>
      <c r="C391" s="1" t="n">
        <v>45175</v>
      </c>
      <c r="D391" t="inlineStr">
        <is>
          <t>KALMAR LÄN</t>
        </is>
      </c>
      <c r="E391" t="inlineStr">
        <is>
          <t>VÄSTERVIK</t>
        </is>
      </c>
      <c r="F391" t="inlineStr">
        <is>
          <t>Holmen skog AB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19829-2020</t>
        </is>
      </c>
      <c r="B392" s="1" t="n">
        <v>43942</v>
      </c>
      <c r="C392" s="1" t="n">
        <v>45175</v>
      </c>
      <c r="D392" t="inlineStr">
        <is>
          <t>KALMAR LÄN</t>
        </is>
      </c>
      <c r="E392" t="inlineStr">
        <is>
          <t>VÄSTERVIK</t>
        </is>
      </c>
      <c r="F392" t="inlineStr">
        <is>
          <t>Holmen skog AB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20411-2020</t>
        </is>
      </c>
      <c r="B393" s="1" t="n">
        <v>43945</v>
      </c>
      <c r="C393" s="1" t="n">
        <v>45175</v>
      </c>
      <c r="D393" t="inlineStr">
        <is>
          <t>KALMAR LÄN</t>
        </is>
      </c>
      <c r="E393" t="inlineStr">
        <is>
          <t>VÄSTERVIK</t>
        </is>
      </c>
      <c r="G393" t="n">
        <v>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20694-2020</t>
        </is>
      </c>
      <c r="B394" s="1" t="n">
        <v>43949</v>
      </c>
      <c r="C394" s="1" t="n">
        <v>45175</v>
      </c>
      <c r="D394" t="inlineStr">
        <is>
          <t>KALMAR LÄN</t>
        </is>
      </c>
      <c r="E394" t="inlineStr">
        <is>
          <t>VÄSTERVIK</t>
        </is>
      </c>
      <c r="F394" t="inlineStr">
        <is>
          <t>Holmen skog AB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22643-2020</t>
        </is>
      </c>
      <c r="B395" s="1" t="n">
        <v>43963</v>
      </c>
      <c r="C395" s="1" t="n">
        <v>45175</v>
      </c>
      <c r="D395" t="inlineStr">
        <is>
          <t>KALMAR LÄN</t>
        </is>
      </c>
      <c r="E395" t="inlineStr">
        <is>
          <t>VÄSTERVIK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22880-2020</t>
        </is>
      </c>
      <c r="B396" s="1" t="n">
        <v>43964</v>
      </c>
      <c r="C396" s="1" t="n">
        <v>45175</v>
      </c>
      <c r="D396" t="inlineStr">
        <is>
          <t>KALMAR LÄN</t>
        </is>
      </c>
      <c r="E396" t="inlineStr">
        <is>
          <t>VÄSTERVIK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22803-2020</t>
        </is>
      </c>
      <c r="B397" s="1" t="n">
        <v>43964</v>
      </c>
      <c r="C397" s="1" t="n">
        <v>45175</v>
      </c>
      <c r="D397" t="inlineStr">
        <is>
          <t>KALMAR LÄN</t>
        </is>
      </c>
      <c r="E397" t="inlineStr">
        <is>
          <t>VÄSTERVIK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22882-2020</t>
        </is>
      </c>
      <c r="B398" s="1" t="n">
        <v>43964</v>
      </c>
      <c r="C398" s="1" t="n">
        <v>45175</v>
      </c>
      <c r="D398" t="inlineStr">
        <is>
          <t>KALMAR LÄN</t>
        </is>
      </c>
      <c r="E398" t="inlineStr">
        <is>
          <t>VÄSTERVIK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24366-2020</t>
        </is>
      </c>
      <c r="B399" s="1" t="n">
        <v>43973</v>
      </c>
      <c r="C399" s="1" t="n">
        <v>45175</v>
      </c>
      <c r="D399" t="inlineStr">
        <is>
          <t>KALMAR LÄN</t>
        </is>
      </c>
      <c r="E399" t="inlineStr">
        <is>
          <t>VÄSTERVIK</t>
        </is>
      </c>
      <c r="G399" t="n">
        <v>6.9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24570-2020</t>
        </is>
      </c>
      <c r="B400" s="1" t="n">
        <v>43977</v>
      </c>
      <c r="C400" s="1" t="n">
        <v>45175</v>
      </c>
      <c r="D400" t="inlineStr">
        <is>
          <t>KALMAR LÄN</t>
        </is>
      </c>
      <c r="E400" t="inlineStr">
        <is>
          <t>VÄSTERVIK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24677-2020</t>
        </is>
      </c>
      <c r="B401" s="1" t="n">
        <v>43978</v>
      </c>
      <c r="C401" s="1" t="n">
        <v>45175</v>
      </c>
      <c r="D401" t="inlineStr">
        <is>
          <t>KALMAR LÄN</t>
        </is>
      </c>
      <c r="E401" t="inlineStr">
        <is>
          <t>VÄSTERVIK</t>
        </is>
      </c>
      <c r="G401" t="n">
        <v>2.7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25241-2020</t>
        </is>
      </c>
      <c r="B402" s="1" t="n">
        <v>43980</v>
      </c>
      <c r="C402" s="1" t="n">
        <v>45175</v>
      </c>
      <c r="D402" t="inlineStr">
        <is>
          <t>KALMAR LÄN</t>
        </is>
      </c>
      <c r="E402" t="inlineStr">
        <is>
          <t>VÄSTERVIK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26129-2020</t>
        </is>
      </c>
      <c r="B403" s="1" t="n">
        <v>43985</v>
      </c>
      <c r="C403" s="1" t="n">
        <v>45175</v>
      </c>
      <c r="D403" t="inlineStr">
        <is>
          <t>KALMAR LÄN</t>
        </is>
      </c>
      <c r="E403" t="inlineStr">
        <is>
          <t>VÄSTERVIK</t>
        </is>
      </c>
      <c r="G403" t="n">
        <v>0.4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26226-2020</t>
        </is>
      </c>
      <c r="B404" s="1" t="n">
        <v>43985</v>
      </c>
      <c r="C404" s="1" t="n">
        <v>45175</v>
      </c>
      <c r="D404" t="inlineStr">
        <is>
          <t>KALMAR LÄN</t>
        </is>
      </c>
      <c r="E404" t="inlineStr">
        <is>
          <t>VÄSTERVIK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26842-2020</t>
        </is>
      </c>
      <c r="B405" s="1" t="n">
        <v>43987</v>
      </c>
      <c r="C405" s="1" t="n">
        <v>45175</v>
      </c>
      <c r="D405" t="inlineStr">
        <is>
          <t>KALMAR LÄN</t>
        </is>
      </c>
      <c r="E405" t="inlineStr">
        <is>
          <t>VÄSTERVIK</t>
        </is>
      </c>
      <c r="G405" t="n">
        <v>1.8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29093-2020</t>
        </is>
      </c>
      <c r="B406" s="1" t="n">
        <v>44002</v>
      </c>
      <c r="C406" s="1" t="n">
        <v>45175</v>
      </c>
      <c r="D406" t="inlineStr">
        <is>
          <t>KALMAR LÄN</t>
        </is>
      </c>
      <c r="E406" t="inlineStr">
        <is>
          <t>VÄSTERVIK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29264-2020</t>
        </is>
      </c>
      <c r="B407" s="1" t="n">
        <v>44004</v>
      </c>
      <c r="C407" s="1" t="n">
        <v>45175</v>
      </c>
      <c r="D407" t="inlineStr">
        <is>
          <t>KALMAR LÄN</t>
        </is>
      </c>
      <c r="E407" t="inlineStr">
        <is>
          <t>VÄSTERVIK</t>
        </is>
      </c>
      <c r="G407" t="n">
        <v>5.5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30578-2020</t>
        </is>
      </c>
      <c r="B408" s="1" t="n">
        <v>44008</v>
      </c>
      <c r="C408" s="1" t="n">
        <v>45175</v>
      </c>
      <c r="D408" t="inlineStr">
        <is>
          <t>KALMAR LÄN</t>
        </is>
      </c>
      <c r="E408" t="inlineStr">
        <is>
          <t>VÄSTERVIK</t>
        </is>
      </c>
      <c r="G408" t="n">
        <v>0.4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30581-2020</t>
        </is>
      </c>
      <c r="B409" s="1" t="n">
        <v>44008</v>
      </c>
      <c r="C409" s="1" t="n">
        <v>45175</v>
      </c>
      <c r="D409" t="inlineStr">
        <is>
          <t>KALMAR LÄN</t>
        </is>
      </c>
      <c r="E409" t="inlineStr">
        <is>
          <t>VÄSTERVIK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31587-2020</t>
        </is>
      </c>
      <c r="B410" s="1" t="n">
        <v>44012</v>
      </c>
      <c r="C410" s="1" t="n">
        <v>45175</v>
      </c>
      <c r="D410" t="inlineStr">
        <is>
          <t>KALMAR LÄN</t>
        </is>
      </c>
      <c r="E410" t="inlineStr">
        <is>
          <t>VÄSTERVIK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32807-2020</t>
        </is>
      </c>
      <c r="B411" s="1" t="n">
        <v>44018</v>
      </c>
      <c r="C411" s="1" t="n">
        <v>45175</v>
      </c>
      <c r="D411" t="inlineStr">
        <is>
          <t>KALMAR LÄN</t>
        </is>
      </c>
      <c r="E411" t="inlineStr">
        <is>
          <t>VÄSTERVIK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33137-2020</t>
        </is>
      </c>
      <c r="B412" s="1" t="n">
        <v>44021</v>
      </c>
      <c r="C412" s="1" t="n">
        <v>45175</v>
      </c>
      <c r="D412" t="inlineStr">
        <is>
          <t>KALMAR LÄN</t>
        </is>
      </c>
      <c r="E412" t="inlineStr">
        <is>
          <t>VÄSTERVIK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34775-2020</t>
        </is>
      </c>
      <c r="B413" s="1" t="n">
        <v>44035</v>
      </c>
      <c r="C413" s="1" t="n">
        <v>45175</v>
      </c>
      <c r="D413" t="inlineStr">
        <is>
          <t>KALMAR LÄN</t>
        </is>
      </c>
      <c r="E413" t="inlineStr">
        <is>
          <t>VÄSTERVIK</t>
        </is>
      </c>
      <c r="G413" t="n">
        <v>3.5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35150-2020</t>
        </is>
      </c>
      <c r="B414" s="1" t="n">
        <v>44040</v>
      </c>
      <c r="C414" s="1" t="n">
        <v>45175</v>
      </c>
      <c r="D414" t="inlineStr">
        <is>
          <t>KALMAR LÄN</t>
        </is>
      </c>
      <c r="E414" t="inlineStr">
        <is>
          <t>VÄSTERVIK</t>
        </is>
      </c>
      <c r="F414" t="inlineStr">
        <is>
          <t>Sveaskog</t>
        </is>
      </c>
      <c r="G414" t="n">
        <v>3.3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35655-2020</t>
        </is>
      </c>
      <c r="B415" s="1" t="n">
        <v>44046</v>
      </c>
      <c r="C415" s="1" t="n">
        <v>45175</v>
      </c>
      <c r="D415" t="inlineStr">
        <is>
          <t>KALMAR LÄN</t>
        </is>
      </c>
      <c r="E415" t="inlineStr">
        <is>
          <t>VÄSTERVIK</t>
        </is>
      </c>
      <c r="F415" t="inlineStr">
        <is>
          <t>Övriga Aktiebolag</t>
        </is>
      </c>
      <c r="G415" t="n">
        <v>3.2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35689-2020</t>
        </is>
      </c>
      <c r="B416" s="1" t="n">
        <v>44046</v>
      </c>
      <c r="C416" s="1" t="n">
        <v>45175</v>
      </c>
      <c r="D416" t="inlineStr">
        <is>
          <t>KALMAR LÄN</t>
        </is>
      </c>
      <c r="E416" t="inlineStr">
        <is>
          <t>VÄSTERVIK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35868-2020</t>
        </is>
      </c>
      <c r="B417" s="1" t="n">
        <v>44047</v>
      </c>
      <c r="C417" s="1" t="n">
        <v>45175</v>
      </c>
      <c r="D417" t="inlineStr">
        <is>
          <t>KALMAR LÄN</t>
        </is>
      </c>
      <c r="E417" t="inlineStr">
        <is>
          <t>VÄSTERVIK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37113-2020</t>
        </is>
      </c>
      <c r="B418" s="1" t="n">
        <v>44054</v>
      </c>
      <c r="C418" s="1" t="n">
        <v>45175</v>
      </c>
      <c r="D418" t="inlineStr">
        <is>
          <t>KALMAR LÄN</t>
        </is>
      </c>
      <c r="E418" t="inlineStr">
        <is>
          <t>VÄSTERVIK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37122-2020</t>
        </is>
      </c>
      <c r="B419" s="1" t="n">
        <v>44054</v>
      </c>
      <c r="C419" s="1" t="n">
        <v>45175</v>
      </c>
      <c r="D419" t="inlineStr">
        <is>
          <t>KALMAR LÄN</t>
        </is>
      </c>
      <c r="E419" t="inlineStr">
        <is>
          <t>VÄSTERVIK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37149-2020</t>
        </is>
      </c>
      <c r="B420" s="1" t="n">
        <v>44054</v>
      </c>
      <c r="C420" s="1" t="n">
        <v>45175</v>
      </c>
      <c r="D420" t="inlineStr">
        <is>
          <t>KALMAR LÄN</t>
        </is>
      </c>
      <c r="E420" t="inlineStr">
        <is>
          <t>VÄSTERVIK</t>
        </is>
      </c>
      <c r="G420" t="n">
        <v>4.6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37166-2020</t>
        </is>
      </c>
      <c r="B421" s="1" t="n">
        <v>44054</v>
      </c>
      <c r="C421" s="1" t="n">
        <v>45175</v>
      </c>
      <c r="D421" t="inlineStr">
        <is>
          <t>KALMAR LÄN</t>
        </is>
      </c>
      <c r="E421" t="inlineStr">
        <is>
          <t>VÄSTERVIK</t>
        </is>
      </c>
      <c r="G421" t="n">
        <v>1.6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37146-2020</t>
        </is>
      </c>
      <c r="B422" s="1" t="n">
        <v>44054</v>
      </c>
      <c r="C422" s="1" t="n">
        <v>45175</v>
      </c>
      <c r="D422" t="inlineStr">
        <is>
          <t>KALMAR LÄN</t>
        </is>
      </c>
      <c r="E422" t="inlineStr">
        <is>
          <t>VÄSTERVIK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37156-2020</t>
        </is>
      </c>
      <c r="B423" s="1" t="n">
        <v>44054</v>
      </c>
      <c r="C423" s="1" t="n">
        <v>45175</v>
      </c>
      <c r="D423" t="inlineStr">
        <is>
          <t>KALMAR LÄN</t>
        </is>
      </c>
      <c r="E423" t="inlineStr">
        <is>
          <t>VÄSTERVIK</t>
        </is>
      </c>
      <c r="G423" t="n">
        <v>2.2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37163-2020</t>
        </is>
      </c>
      <c r="B424" s="1" t="n">
        <v>44054</v>
      </c>
      <c r="C424" s="1" t="n">
        <v>45175</v>
      </c>
      <c r="D424" t="inlineStr">
        <is>
          <t>KALMAR LÄN</t>
        </is>
      </c>
      <c r="E424" t="inlineStr">
        <is>
          <t>VÄSTERVIK</t>
        </is>
      </c>
      <c r="G424" t="n">
        <v>1.4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37162-2020</t>
        </is>
      </c>
      <c r="B425" s="1" t="n">
        <v>44054</v>
      </c>
      <c r="C425" s="1" t="n">
        <v>45175</v>
      </c>
      <c r="D425" t="inlineStr">
        <is>
          <t>KALMAR LÄN</t>
        </is>
      </c>
      <c r="E425" t="inlineStr">
        <is>
          <t>VÄSTERVIK</t>
        </is>
      </c>
      <c r="G425" t="n">
        <v>1.4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37114-2020</t>
        </is>
      </c>
      <c r="B426" s="1" t="n">
        <v>44054</v>
      </c>
      <c r="C426" s="1" t="n">
        <v>45175</v>
      </c>
      <c r="D426" t="inlineStr">
        <is>
          <t>KALMAR LÄN</t>
        </is>
      </c>
      <c r="E426" t="inlineStr">
        <is>
          <t>VÄSTERVIK</t>
        </is>
      </c>
      <c r="G426" t="n">
        <v>2.8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39153-2020</t>
        </is>
      </c>
      <c r="B427" s="1" t="n">
        <v>44063</v>
      </c>
      <c r="C427" s="1" t="n">
        <v>45175</v>
      </c>
      <c r="D427" t="inlineStr">
        <is>
          <t>KALMAR LÄN</t>
        </is>
      </c>
      <c r="E427" t="inlineStr">
        <is>
          <t>VÄSTERVIK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39779-2020</t>
        </is>
      </c>
      <c r="B428" s="1" t="n">
        <v>44064</v>
      </c>
      <c r="C428" s="1" t="n">
        <v>45175</v>
      </c>
      <c r="D428" t="inlineStr">
        <is>
          <t>KALMAR LÄN</t>
        </is>
      </c>
      <c r="E428" t="inlineStr">
        <is>
          <t>VÄSTERVIK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39859-2020</t>
        </is>
      </c>
      <c r="B429" s="1" t="n">
        <v>44064</v>
      </c>
      <c r="C429" s="1" t="n">
        <v>45175</v>
      </c>
      <c r="D429" t="inlineStr">
        <is>
          <t>KALMAR LÄN</t>
        </is>
      </c>
      <c r="E429" t="inlineStr">
        <is>
          <t>VÄSTERVIK</t>
        </is>
      </c>
      <c r="G429" t="n">
        <v>29.6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39857-2020</t>
        </is>
      </c>
      <c r="B430" s="1" t="n">
        <v>44064</v>
      </c>
      <c r="C430" s="1" t="n">
        <v>45175</v>
      </c>
      <c r="D430" t="inlineStr">
        <is>
          <t>KALMAR LÄN</t>
        </is>
      </c>
      <c r="E430" t="inlineStr">
        <is>
          <t>VÄSTERVIK</t>
        </is>
      </c>
      <c r="G430" t="n">
        <v>7.6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42113-2020</t>
        </is>
      </c>
      <c r="B431" s="1" t="n">
        <v>44071</v>
      </c>
      <c r="C431" s="1" t="n">
        <v>45175</v>
      </c>
      <c r="D431" t="inlineStr">
        <is>
          <t>KALMAR LÄN</t>
        </is>
      </c>
      <c r="E431" t="inlineStr">
        <is>
          <t>VÄSTERVIK</t>
        </is>
      </c>
      <c r="G431" t="n">
        <v>2.6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44466-2020</t>
        </is>
      </c>
      <c r="B432" s="1" t="n">
        <v>44084</v>
      </c>
      <c r="C432" s="1" t="n">
        <v>45175</v>
      </c>
      <c r="D432" t="inlineStr">
        <is>
          <t>KALMAR LÄN</t>
        </is>
      </c>
      <c r="E432" t="inlineStr">
        <is>
          <t>VÄSTERVIK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45537-2020</t>
        </is>
      </c>
      <c r="B433" s="1" t="n">
        <v>44089</v>
      </c>
      <c r="C433" s="1" t="n">
        <v>45175</v>
      </c>
      <c r="D433" t="inlineStr">
        <is>
          <t>KALMAR LÄN</t>
        </is>
      </c>
      <c r="E433" t="inlineStr">
        <is>
          <t>VÄSTERVIK</t>
        </is>
      </c>
      <c r="G433" t="n">
        <v>2.1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45877-2020</t>
        </is>
      </c>
      <c r="B434" s="1" t="n">
        <v>44091</v>
      </c>
      <c r="C434" s="1" t="n">
        <v>45175</v>
      </c>
      <c r="D434" t="inlineStr">
        <is>
          <t>KALMAR LÄN</t>
        </is>
      </c>
      <c r="E434" t="inlineStr">
        <is>
          <t>VÄSTERVIK</t>
        </is>
      </c>
      <c r="F434" t="inlineStr">
        <is>
          <t>Sveaskog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46214-2020</t>
        </is>
      </c>
      <c r="B435" s="1" t="n">
        <v>44092</v>
      </c>
      <c r="C435" s="1" t="n">
        <v>45175</v>
      </c>
      <c r="D435" t="inlineStr">
        <is>
          <t>KALMAR LÄN</t>
        </is>
      </c>
      <c r="E435" t="inlineStr">
        <is>
          <t>VÄSTERVIK</t>
        </is>
      </c>
      <c r="G435" t="n">
        <v>2.7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46822-2020</t>
        </is>
      </c>
      <c r="B436" s="1" t="n">
        <v>44096</v>
      </c>
      <c r="C436" s="1" t="n">
        <v>45175</v>
      </c>
      <c r="D436" t="inlineStr">
        <is>
          <t>KALMAR LÄN</t>
        </is>
      </c>
      <c r="E436" t="inlineStr">
        <is>
          <t>VÄSTERVIK</t>
        </is>
      </c>
      <c r="G436" t="n">
        <v>0.2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48135-2020</t>
        </is>
      </c>
      <c r="B437" s="1" t="n">
        <v>44099</v>
      </c>
      <c r="C437" s="1" t="n">
        <v>45175</v>
      </c>
      <c r="D437" t="inlineStr">
        <is>
          <t>KALMAR LÄN</t>
        </is>
      </c>
      <c r="E437" t="inlineStr">
        <is>
          <t>VÄSTERVIK</t>
        </is>
      </c>
      <c r="G437" t="n">
        <v>3.2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47907-2020</t>
        </is>
      </c>
      <c r="B438" s="1" t="n">
        <v>44099</v>
      </c>
      <c r="C438" s="1" t="n">
        <v>45175</v>
      </c>
      <c r="D438" t="inlineStr">
        <is>
          <t>KALMAR LÄN</t>
        </is>
      </c>
      <c r="E438" t="inlineStr">
        <is>
          <t>VÄSTERVIK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52136-2020</t>
        </is>
      </c>
      <c r="B439" s="1" t="n">
        <v>44110</v>
      </c>
      <c r="C439" s="1" t="n">
        <v>45175</v>
      </c>
      <c r="D439" t="inlineStr">
        <is>
          <t>KALMAR LÄN</t>
        </is>
      </c>
      <c r="E439" t="inlineStr">
        <is>
          <t>VÄSTERVIK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50800-2020</t>
        </is>
      </c>
      <c r="B440" s="1" t="n">
        <v>44111</v>
      </c>
      <c r="C440" s="1" t="n">
        <v>45175</v>
      </c>
      <c r="D440" t="inlineStr">
        <is>
          <t>KALMAR LÄN</t>
        </is>
      </c>
      <c r="E440" t="inlineStr">
        <is>
          <t>VÄSTERVIK</t>
        </is>
      </c>
      <c r="G440" t="n">
        <v>0.4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50821-2020</t>
        </is>
      </c>
      <c r="B441" s="1" t="n">
        <v>44111</v>
      </c>
      <c r="C441" s="1" t="n">
        <v>45175</v>
      </c>
      <c r="D441" t="inlineStr">
        <is>
          <t>KALMAR LÄN</t>
        </is>
      </c>
      <c r="E441" t="inlineStr">
        <is>
          <t>VÄSTERVIK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51264-2020</t>
        </is>
      </c>
      <c r="B442" s="1" t="n">
        <v>44112</v>
      </c>
      <c r="C442" s="1" t="n">
        <v>45175</v>
      </c>
      <c r="D442" t="inlineStr">
        <is>
          <t>KALMAR LÄN</t>
        </is>
      </c>
      <c r="E442" t="inlineStr">
        <is>
          <t>VÄSTERVIK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54164-2020</t>
        </is>
      </c>
      <c r="B443" s="1" t="n">
        <v>44125</v>
      </c>
      <c r="C443" s="1" t="n">
        <v>45175</v>
      </c>
      <c r="D443" t="inlineStr">
        <is>
          <t>KALMAR LÄN</t>
        </is>
      </c>
      <c r="E443" t="inlineStr">
        <is>
          <t>VÄSTERVIK</t>
        </is>
      </c>
      <c r="F443" t="inlineStr">
        <is>
          <t>Sveaskog</t>
        </is>
      </c>
      <c r="G443" t="n">
        <v>9.800000000000001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56127-2020</t>
        </is>
      </c>
      <c r="B444" s="1" t="n">
        <v>44132</v>
      </c>
      <c r="C444" s="1" t="n">
        <v>45175</v>
      </c>
      <c r="D444" t="inlineStr">
        <is>
          <t>KALMAR LÄN</t>
        </is>
      </c>
      <c r="E444" t="inlineStr">
        <is>
          <t>VÄSTERVIK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57065-2020</t>
        </is>
      </c>
      <c r="B445" s="1" t="n">
        <v>44138</v>
      </c>
      <c r="C445" s="1" t="n">
        <v>45175</v>
      </c>
      <c r="D445" t="inlineStr">
        <is>
          <t>KALMAR LÄN</t>
        </is>
      </c>
      <c r="E445" t="inlineStr">
        <is>
          <t>VÄSTERVIK</t>
        </is>
      </c>
      <c r="G445" t="n">
        <v>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57009-2020</t>
        </is>
      </c>
      <c r="B446" s="1" t="n">
        <v>44138</v>
      </c>
      <c r="C446" s="1" t="n">
        <v>45175</v>
      </c>
      <c r="D446" t="inlineStr">
        <is>
          <t>KALMAR LÄN</t>
        </is>
      </c>
      <c r="E446" t="inlineStr">
        <is>
          <t>VÄSTERVIK</t>
        </is>
      </c>
      <c r="F446" t="inlineStr">
        <is>
          <t>Holmen skog AB</t>
        </is>
      </c>
      <c r="G446" t="n">
        <v>1.7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58041-2020</t>
        </is>
      </c>
      <c r="B447" s="1" t="n">
        <v>44140</v>
      </c>
      <c r="C447" s="1" t="n">
        <v>45175</v>
      </c>
      <c r="D447" t="inlineStr">
        <is>
          <t>KALMAR LÄN</t>
        </is>
      </c>
      <c r="E447" t="inlineStr">
        <is>
          <t>VÄSTERVIK</t>
        </is>
      </c>
      <c r="F447" t="inlineStr">
        <is>
          <t>Övriga Aktiebolag</t>
        </is>
      </c>
      <c r="G447" t="n">
        <v>1.9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57922-2020</t>
        </is>
      </c>
      <c r="B448" s="1" t="n">
        <v>44141</v>
      </c>
      <c r="C448" s="1" t="n">
        <v>45175</v>
      </c>
      <c r="D448" t="inlineStr">
        <is>
          <t>KALMAR LÄN</t>
        </is>
      </c>
      <c r="E448" t="inlineStr">
        <is>
          <t>VÄSTERVIK</t>
        </is>
      </c>
      <c r="F448" t="inlineStr">
        <is>
          <t>Holmen skog AB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59421-2020</t>
        </is>
      </c>
      <c r="B449" s="1" t="n">
        <v>44148</v>
      </c>
      <c r="C449" s="1" t="n">
        <v>45175</v>
      </c>
      <c r="D449" t="inlineStr">
        <is>
          <t>KALMAR LÄN</t>
        </is>
      </c>
      <c r="E449" t="inlineStr">
        <is>
          <t>VÄSTERVIK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59634-2020</t>
        </is>
      </c>
      <c r="B450" s="1" t="n">
        <v>44150</v>
      </c>
      <c r="C450" s="1" t="n">
        <v>45175</v>
      </c>
      <c r="D450" t="inlineStr">
        <is>
          <t>KALMAR LÄN</t>
        </is>
      </c>
      <c r="E450" t="inlineStr">
        <is>
          <t>VÄSTERVIK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61682-2020</t>
        </is>
      </c>
      <c r="B451" s="1" t="n">
        <v>44154</v>
      </c>
      <c r="C451" s="1" t="n">
        <v>45175</v>
      </c>
      <c r="D451" t="inlineStr">
        <is>
          <t>KALMAR LÄN</t>
        </is>
      </c>
      <c r="E451" t="inlineStr">
        <is>
          <t>VÄSTERVIK</t>
        </is>
      </c>
      <c r="F451" t="inlineStr">
        <is>
          <t>Övriga Aktiebolag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61696-2020</t>
        </is>
      </c>
      <c r="B452" s="1" t="n">
        <v>44158</v>
      </c>
      <c r="C452" s="1" t="n">
        <v>45175</v>
      </c>
      <c r="D452" t="inlineStr">
        <is>
          <t>KALMAR LÄN</t>
        </is>
      </c>
      <c r="E452" t="inlineStr">
        <is>
          <t>VÄSTERVIK</t>
        </is>
      </c>
      <c r="G452" t="n">
        <v>1.7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61799-2020</t>
        </is>
      </c>
      <c r="B453" s="1" t="n">
        <v>44158</v>
      </c>
      <c r="C453" s="1" t="n">
        <v>45175</v>
      </c>
      <c r="D453" t="inlineStr">
        <is>
          <t>KALMAR LÄN</t>
        </is>
      </c>
      <c r="E453" t="inlineStr">
        <is>
          <t>VÄSTERVIK</t>
        </is>
      </c>
      <c r="F453" t="inlineStr">
        <is>
          <t>Sveaskog</t>
        </is>
      </c>
      <c r="G453" t="n">
        <v>3.4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63635-2020</t>
        </is>
      </c>
      <c r="B454" s="1" t="n">
        <v>44162</v>
      </c>
      <c r="C454" s="1" t="n">
        <v>45175</v>
      </c>
      <c r="D454" t="inlineStr">
        <is>
          <t>KALMAR LÄN</t>
        </is>
      </c>
      <c r="E454" t="inlineStr">
        <is>
          <t>VÄSTERVIK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63212-2020</t>
        </is>
      </c>
      <c r="B455" s="1" t="n">
        <v>44163</v>
      </c>
      <c r="C455" s="1" t="n">
        <v>45175</v>
      </c>
      <c r="D455" t="inlineStr">
        <is>
          <t>KALMAR LÄN</t>
        </is>
      </c>
      <c r="E455" t="inlineStr">
        <is>
          <t>VÄSTERVIK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66149-2020</t>
        </is>
      </c>
      <c r="B456" s="1" t="n">
        <v>44173</v>
      </c>
      <c r="C456" s="1" t="n">
        <v>45175</v>
      </c>
      <c r="D456" t="inlineStr">
        <is>
          <t>KALMAR LÄN</t>
        </is>
      </c>
      <c r="E456" t="inlineStr">
        <is>
          <t>VÄSTERVIK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65654-2020</t>
        </is>
      </c>
      <c r="B457" s="1" t="n">
        <v>44174</v>
      </c>
      <c r="C457" s="1" t="n">
        <v>45175</v>
      </c>
      <c r="D457" t="inlineStr">
        <is>
          <t>KALMAR LÄN</t>
        </is>
      </c>
      <c r="E457" t="inlineStr">
        <is>
          <t>VÄSTERVIK</t>
        </is>
      </c>
      <c r="G457" t="n">
        <v>2.1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66748-2020</t>
        </is>
      </c>
      <c r="B458" s="1" t="n">
        <v>44175</v>
      </c>
      <c r="C458" s="1" t="n">
        <v>45175</v>
      </c>
      <c r="D458" t="inlineStr">
        <is>
          <t>KALMAR LÄN</t>
        </is>
      </c>
      <c r="E458" t="inlineStr">
        <is>
          <t>VÄSTERVIK</t>
        </is>
      </c>
      <c r="G458" t="n">
        <v>2.2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66757-2020</t>
        </is>
      </c>
      <c r="B459" s="1" t="n">
        <v>44175</v>
      </c>
      <c r="C459" s="1" t="n">
        <v>45175</v>
      </c>
      <c r="D459" t="inlineStr">
        <is>
          <t>KALMAR LÄN</t>
        </is>
      </c>
      <c r="E459" t="inlineStr">
        <is>
          <t>VÄSTERVIK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66292-2020</t>
        </is>
      </c>
      <c r="B460" s="1" t="n">
        <v>44176</v>
      </c>
      <c r="C460" s="1" t="n">
        <v>45175</v>
      </c>
      <c r="D460" t="inlineStr">
        <is>
          <t>KALMAR LÄN</t>
        </is>
      </c>
      <c r="E460" t="inlineStr">
        <is>
          <t>VÄSTERVIK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66328-2020</t>
        </is>
      </c>
      <c r="B461" s="1" t="n">
        <v>44176</v>
      </c>
      <c r="C461" s="1" t="n">
        <v>45175</v>
      </c>
      <c r="D461" t="inlineStr">
        <is>
          <t>KALMAR LÄN</t>
        </is>
      </c>
      <c r="E461" t="inlineStr">
        <is>
          <t>VÄSTERVIK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66888-2020</t>
        </is>
      </c>
      <c r="B462" s="1" t="n">
        <v>44179</v>
      </c>
      <c r="C462" s="1" t="n">
        <v>45175</v>
      </c>
      <c r="D462" t="inlineStr">
        <is>
          <t>KALMAR LÄN</t>
        </is>
      </c>
      <c r="E462" t="inlineStr">
        <is>
          <t>VÄSTERVIK</t>
        </is>
      </c>
      <c r="G462" t="n">
        <v>0.3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67133-2020</t>
        </is>
      </c>
      <c r="B463" s="1" t="n">
        <v>44180</v>
      </c>
      <c r="C463" s="1" t="n">
        <v>45175</v>
      </c>
      <c r="D463" t="inlineStr">
        <is>
          <t>KALMAR LÄN</t>
        </is>
      </c>
      <c r="E463" t="inlineStr">
        <is>
          <t>VÄSTERVIK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68811-2020</t>
        </is>
      </c>
      <c r="B464" s="1" t="n">
        <v>44187</v>
      </c>
      <c r="C464" s="1" t="n">
        <v>45175</v>
      </c>
      <c r="D464" t="inlineStr">
        <is>
          <t>KALMAR LÄN</t>
        </is>
      </c>
      <c r="E464" t="inlineStr">
        <is>
          <t>VÄSTERVIK</t>
        </is>
      </c>
      <c r="G464" t="n">
        <v>2.3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69098-2020</t>
        </is>
      </c>
      <c r="B465" s="1" t="n">
        <v>44187</v>
      </c>
      <c r="C465" s="1" t="n">
        <v>45175</v>
      </c>
      <c r="D465" t="inlineStr">
        <is>
          <t>KALMAR LÄN</t>
        </is>
      </c>
      <c r="E465" t="inlineStr">
        <is>
          <t>VÄSTERVIK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119-2021</t>
        </is>
      </c>
      <c r="B466" s="1" t="n">
        <v>44200</v>
      </c>
      <c r="C466" s="1" t="n">
        <v>45175</v>
      </c>
      <c r="D466" t="inlineStr">
        <is>
          <t>KALMAR LÄN</t>
        </is>
      </c>
      <c r="E466" t="inlineStr">
        <is>
          <t>VÄSTERVIK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578-2021</t>
        </is>
      </c>
      <c r="B467" s="1" t="n">
        <v>44203</v>
      </c>
      <c r="C467" s="1" t="n">
        <v>45175</v>
      </c>
      <c r="D467" t="inlineStr">
        <is>
          <t>KALMAR LÄN</t>
        </is>
      </c>
      <c r="E467" t="inlineStr">
        <is>
          <t>VÄSTERVIK</t>
        </is>
      </c>
      <c r="G467" t="n">
        <v>3.5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789-2021</t>
        </is>
      </c>
      <c r="B468" s="1" t="n">
        <v>44204</v>
      </c>
      <c r="C468" s="1" t="n">
        <v>45175</v>
      </c>
      <c r="D468" t="inlineStr">
        <is>
          <t>KALMAR LÄN</t>
        </is>
      </c>
      <c r="E468" t="inlineStr">
        <is>
          <t>VÄSTERVIK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809-2021</t>
        </is>
      </c>
      <c r="B469" s="1" t="n">
        <v>44204</v>
      </c>
      <c r="C469" s="1" t="n">
        <v>45175</v>
      </c>
      <c r="D469" t="inlineStr">
        <is>
          <t>KALMAR LÄN</t>
        </is>
      </c>
      <c r="E469" t="inlineStr">
        <is>
          <t>VÄSTERVIK</t>
        </is>
      </c>
      <c r="F469" t="inlineStr">
        <is>
          <t>Övriga Aktiebolag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2106-2021</t>
        </is>
      </c>
      <c r="B470" s="1" t="n">
        <v>44211</v>
      </c>
      <c r="C470" s="1" t="n">
        <v>45175</v>
      </c>
      <c r="D470" t="inlineStr">
        <is>
          <t>KALMAR LÄN</t>
        </is>
      </c>
      <c r="E470" t="inlineStr">
        <is>
          <t>VÄSTERVIK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3553-2021</t>
        </is>
      </c>
      <c r="B471" s="1" t="n">
        <v>44218</v>
      </c>
      <c r="C471" s="1" t="n">
        <v>45175</v>
      </c>
      <c r="D471" t="inlineStr">
        <is>
          <t>KALMAR LÄN</t>
        </is>
      </c>
      <c r="E471" t="inlineStr">
        <is>
          <t>VÄSTERVIK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3555-2021</t>
        </is>
      </c>
      <c r="B472" s="1" t="n">
        <v>44218</v>
      </c>
      <c r="C472" s="1" t="n">
        <v>45175</v>
      </c>
      <c r="D472" t="inlineStr">
        <is>
          <t>KALMAR LÄN</t>
        </is>
      </c>
      <c r="E472" t="inlineStr">
        <is>
          <t>VÄSTERVIK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3669-2021</t>
        </is>
      </c>
      <c r="B473" s="1" t="n">
        <v>44221</v>
      </c>
      <c r="C473" s="1" t="n">
        <v>45175</v>
      </c>
      <c r="D473" t="inlineStr">
        <is>
          <t>KALMAR LÄN</t>
        </is>
      </c>
      <c r="E473" t="inlineStr">
        <is>
          <t>VÄSTERVIK</t>
        </is>
      </c>
      <c r="G473" t="n">
        <v>2.7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5510-2021</t>
        </is>
      </c>
      <c r="B474" s="1" t="n">
        <v>44230</v>
      </c>
      <c r="C474" s="1" t="n">
        <v>45175</v>
      </c>
      <c r="D474" t="inlineStr">
        <is>
          <t>KALMAR LÄN</t>
        </is>
      </c>
      <c r="E474" t="inlineStr">
        <is>
          <t>VÄSTERVIK</t>
        </is>
      </c>
      <c r="G474" t="n">
        <v>3.2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5575-2021</t>
        </is>
      </c>
      <c r="B475" s="1" t="n">
        <v>44230</v>
      </c>
      <c r="C475" s="1" t="n">
        <v>45175</v>
      </c>
      <c r="D475" t="inlineStr">
        <is>
          <t>KALMAR LÄN</t>
        </is>
      </c>
      <c r="E475" t="inlineStr">
        <is>
          <t>VÄSTERVIK</t>
        </is>
      </c>
      <c r="G475" t="n">
        <v>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6616-2021</t>
        </is>
      </c>
      <c r="B476" s="1" t="n">
        <v>44236</v>
      </c>
      <c r="C476" s="1" t="n">
        <v>45175</v>
      </c>
      <c r="D476" t="inlineStr">
        <is>
          <t>KALMAR LÄN</t>
        </is>
      </c>
      <c r="E476" t="inlineStr">
        <is>
          <t>VÄSTERVIK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6974-2021</t>
        </is>
      </c>
      <c r="B477" s="1" t="n">
        <v>44237</v>
      </c>
      <c r="C477" s="1" t="n">
        <v>45175</v>
      </c>
      <c r="D477" t="inlineStr">
        <is>
          <t>KALMAR LÄN</t>
        </is>
      </c>
      <c r="E477" t="inlineStr">
        <is>
          <t>VÄSTERVIK</t>
        </is>
      </c>
      <c r="G477" t="n">
        <v>2.2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7754-2021</t>
        </is>
      </c>
      <c r="B478" s="1" t="n">
        <v>44239</v>
      </c>
      <c r="C478" s="1" t="n">
        <v>45175</v>
      </c>
      <c r="D478" t="inlineStr">
        <is>
          <t>KALMAR LÄN</t>
        </is>
      </c>
      <c r="E478" t="inlineStr">
        <is>
          <t>VÄSTERVIK</t>
        </is>
      </c>
      <c r="G478" t="n">
        <v>3.6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8196-2021</t>
        </is>
      </c>
      <c r="B479" s="1" t="n">
        <v>44244</v>
      </c>
      <c r="C479" s="1" t="n">
        <v>45175</v>
      </c>
      <c r="D479" t="inlineStr">
        <is>
          <t>KALMAR LÄN</t>
        </is>
      </c>
      <c r="E479" t="inlineStr">
        <is>
          <t>VÄSTERVIK</t>
        </is>
      </c>
      <c r="G479" t="n">
        <v>3.5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8788-2021</t>
        </is>
      </c>
      <c r="B480" s="1" t="n">
        <v>44246</v>
      </c>
      <c r="C480" s="1" t="n">
        <v>45175</v>
      </c>
      <c r="D480" t="inlineStr">
        <is>
          <t>KALMAR LÄN</t>
        </is>
      </c>
      <c r="E480" t="inlineStr">
        <is>
          <t>VÄSTERVIK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9091-2021</t>
        </is>
      </c>
      <c r="B481" s="1" t="n">
        <v>44249</v>
      </c>
      <c r="C481" s="1" t="n">
        <v>45175</v>
      </c>
      <c r="D481" t="inlineStr">
        <is>
          <t>KALMAR LÄN</t>
        </is>
      </c>
      <c r="E481" t="inlineStr">
        <is>
          <t>VÄSTERVIK</t>
        </is>
      </c>
      <c r="F481" t="inlineStr">
        <is>
          <t>Sveaskog</t>
        </is>
      </c>
      <c r="G481" t="n">
        <v>2.2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9125-2021</t>
        </is>
      </c>
      <c r="B482" s="1" t="n">
        <v>44249</v>
      </c>
      <c r="C482" s="1" t="n">
        <v>45175</v>
      </c>
      <c r="D482" t="inlineStr">
        <is>
          <t>KALMAR LÄN</t>
        </is>
      </c>
      <c r="E482" t="inlineStr">
        <is>
          <t>VÄSTERVIK</t>
        </is>
      </c>
      <c r="G482" t="n">
        <v>0.8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10020-2021</t>
        </is>
      </c>
      <c r="B483" s="1" t="n">
        <v>44256</v>
      </c>
      <c r="C483" s="1" t="n">
        <v>45175</v>
      </c>
      <c r="D483" t="inlineStr">
        <is>
          <t>KALMAR LÄN</t>
        </is>
      </c>
      <c r="E483" t="inlineStr">
        <is>
          <t>VÄSTERVIK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10517-2021</t>
        </is>
      </c>
      <c r="B484" s="1" t="n">
        <v>44258</v>
      </c>
      <c r="C484" s="1" t="n">
        <v>45175</v>
      </c>
      <c r="D484" t="inlineStr">
        <is>
          <t>KALMAR LÄN</t>
        </is>
      </c>
      <c r="E484" t="inlineStr">
        <is>
          <t>VÄSTERVIK</t>
        </is>
      </c>
      <c r="G484" t="n">
        <v>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12520-2021</t>
        </is>
      </c>
      <c r="B485" s="1" t="n">
        <v>44269</v>
      </c>
      <c r="C485" s="1" t="n">
        <v>45175</v>
      </c>
      <c r="D485" t="inlineStr">
        <is>
          <t>KALMAR LÄN</t>
        </is>
      </c>
      <c r="E485" t="inlineStr">
        <is>
          <t>VÄSTERVIK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13230-2021</t>
        </is>
      </c>
      <c r="B486" s="1" t="n">
        <v>44272</v>
      </c>
      <c r="C486" s="1" t="n">
        <v>45175</v>
      </c>
      <c r="D486" t="inlineStr">
        <is>
          <t>KALMAR LÄN</t>
        </is>
      </c>
      <c r="E486" t="inlineStr">
        <is>
          <t>VÄSTERVIK</t>
        </is>
      </c>
      <c r="G486" t="n">
        <v>7.2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14149-2021</t>
        </is>
      </c>
      <c r="B487" s="1" t="n">
        <v>44278</v>
      </c>
      <c r="C487" s="1" t="n">
        <v>45175</v>
      </c>
      <c r="D487" t="inlineStr">
        <is>
          <t>KALMAR LÄN</t>
        </is>
      </c>
      <c r="E487" t="inlineStr">
        <is>
          <t>VÄSTERVIK</t>
        </is>
      </c>
      <c r="G487" t="n">
        <v>4.1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14317-2021</t>
        </is>
      </c>
      <c r="B488" s="1" t="n">
        <v>44278</v>
      </c>
      <c r="C488" s="1" t="n">
        <v>45175</v>
      </c>
      <c r="D488" t="inlineStr">
        <is>
          <t>KALMAR LÄN</t>
        </is>
      </c>
      <c r="E488" t="inlineStr">
        <is>
          <t>VÄSTERVIK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15834-2021</t>
        </is>
      </c>
      <c r="B489" s="1" t="n">
        <v>44286</v>
      </c>
      <c r="C489" s="1" t="n">
        <v>45175</v>
      </c>
      <c r="D489" t="inlineStr">
        <is>
          <t>KALMAR LÄN</t>
        </is>
      </c>
      <c r="E489" t="inlineStr">
        <is>
          <t>VÄSTERVIK</t>
        </is>
      </c>
      <c r="F489" t="inlineStr">
        <is>
          <t>Holmen skog AB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16697-2021</t>
        </is>
      </c>
      <c r="B490" s="1" t="n">
        <v>44294</v>
      </c>
      <c r="C490" s="1" t="n">
        <v>45175</v>
      </c>
      <c r="D490" t="inlineStr">
        <is>
          <t>KALMAR LÄN</t>
        </is>
      </c>
      <c r="E490" t="inlineStr">
        <is>
          <t>VÄSTERVIK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16734-2021</t>
        </is>
      </c>
      <c r="B491" s="1" t="n">
        <v>44294</v>
      </c>
      <c r="C491" s="1" t="n">
        <v>45175</v>
      </c>
      <c r="D491" t="inlineStr">
        <is>
          <t>KALMAR LÄN</t>
        </is>
      </c>
      <c r="E491" t="inlineStr">
        <is>
          <t>VÄSTERVIK</t>
        </is>
      </c>
      <c r="G491" t="n">
        <v>3.7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16729-2021</t>
        </is>
      </c>
      <c r="B492" s="1" t="n">
        <v>44294</v>
      </c>
      <c r="C492" s="1" t="n">
        <v>45175</v>
      </c>
      <c r="D492" t="inlineStr">
        <is>
          <t>KALMAR LÄN</t>
        </is>
      </c>
      <c r="E492" t="inlineStr">
        <is>
          <t>VÄSTERVIK</t>
        </is>
      </c>
      <c r="G492" t="n">
        <v>2.3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16726-2021</t>
        </is>
      </c>
      <c r="B493" s="1" t="n">
        <v>44294</v>
      </c>
      <c r="C493" s="1" t="n">
        <v>45175</v>
      </c>
      <c r="D493" t="inlineStr">
        <is>
          <t>KALMAR LÄN</t>
        </is>
      </c>
      <c r="E493" t="inlineStr">
        <is>
          <t>VÄSTERVIK</t>
        </is>
      </c>
      <c r="G493" t="n">
        <v>4.6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16992-2021</t>
        </is>
      </c>
      <c r="B494" s="1" t="n">
        <v>44295</v>
      </c>
      <c r="C494" s="1" t="n">
        <v>45175</v>
      </c>
      <c r="D494" t="inlineStr">
        <is>
          <t>KALMAR LÄN</t>
        </is>
      </c>
      <c r="E494" t="inlineStr">
        <is>
          <t>VÄSTERVIK</t>
        </is>
      </c>
      <c r="G494" t="n">
        <v>3.6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17124-2021</t>
        </is>
      </c>
      <c r="B495" s="1" t="n">
        <v>44298</v>
      </c>
      <c r="C495" s="1" t="n">
        <v>45175</v>
      </c>
      <c r="D495" t="inlineStr">
        <is>
          <t>KALMAR LÄN</t>
        </is>
      </c>
      <c r="E495" t="inlineStr">
        <is>
          <t>VÄSTERVIK</t>
        </is>
      </c>
      <c r="G495" t="n">
        <v>1.5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17277-2021</t>
        </is>
      </c>
      <c r="B496" s="1" t="n">
        <v>44298</v>
      </c>
      <c r="C496" s="1" t="n">
        <v>45175</v>
      </c>
      <c r="D496" t="inlineStr">
        <is>
          <t>KALMAR LÄN</t>
        </is>
      </c>
      <c r="E496" t="inlineStr">
        <is>
          <t>VÄSTERVIK</t>
        </is>
      </c>
      <c r="G496" t="n">
        <v>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17253-2021</t>
        </is>
      </c>
      <c r="B497" s="1" t="n">
        <v>44298</v>
      </c>
      <c r="C497" s="1" t="n">
        <v>45175</v>
      </c>
      <c r="D497" t="inlineStr">
        <is>
          <t>KALMAR LÄN</t>
        </is>
      </c>
      <c r="E497" t="inlineStr">
        <is>
          <t>VÄSTERVIK</t>
        </is>
      </c>
      <c r="G497" t="n">
        <v>4.6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18013-2021</t>
        </is>
      </c>
      <c r="B498" s="1" t="n">
        <v>44302</v>
      </c>
      <c r="C498" s="1" t="n">
        <v>45175</v>
      </c>
      <c r="D498" t="inlineStr">
        <is>
          <t>KALMAR LÄN</t>
        </is>
      </c>
      <c r="E498" t="inlineStr">
        <is>
          <t>VÄSTERVIK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18837-2021</t>
        </is>
      </c>
      <c r="B499" s="1" t="n">
        <v>44307</v>
      </c>
      <c r="C499" s="1" t="n">
        <v>45175</v>
      </c>
      <c r="D499" t="inlineStr">
        <is>
          <t>KALMAR LÄN</t>
        </is>
      </c>
      <c r="E499" t="inlineStr">
        <is>
          <t>VÄSTERVIK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18900-2021</t>
        </is>
      </c>
      <c r="B500" s="1" t="n">
        <v>44308</v>
      </c>
      <c r="C500" s="1" t="n">
        <v>45175</v>
      </c>
      <c r="D500" t="inlineStr">
        <is>
          <t>KALMAR LÄN</t>
        </is>
      </c>
      <c r="E500" t="inlineStr">
        <is>
          <t>VÄSTERVIK</t>
        </is>
      </c>
      <c r="F500" t="inlineStr">
        <is>
          <t>Holmen skog AB</t>
        </is>
      </c>
      <c r="G500" t="n">
        <v>7.5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19219-2021</t>
        </is>
      </c>
      <c r="B501" s="1" t="n">
        <v>44309</v>
      </c>
      <c r="C501" s="1" t="n">
        <v>45175</v>
      </c>
      <c r="D501" t="inlineStr">
        <is>
          <t>KALMAR LÄN</t>
        </is>
      </c>
      <c r="E501" t="inlineStr">
        <is>
          <t>VÄSTERVIK</t>
        </is>
      </c>
      <c r="G501" t="n">
        <v>0.9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19660-2021</t>
        </is>
      </c>
      <c r="B502" s="1" t="n">
        <v>44312</v>
      </c>
      <c r="C502" s="1" t="n">
        <v>45175</v>
      </c>
      <c r="D502" t="inlineStr">
        <is>
          <t>KALMAR LÄN</t>
        </is>
      </c>
      <c r="E502" t="inlineStr">
        <is>
          <t>VÄSTERVIK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19644-2021</t>
        </is>
      </c>
      <c r="B503" s="1" t="n">
        <v>44312</v>
      </c>
      <c r="C503" s="1" t="n">
        <v>45175</v>
      </c>
      <c r="D503" t="inlineStr">
        <is>
          <t>KALMAR LÄN</t>
        </is>
      </c>
      <c r="E503" t="inlineStr">
        <is>
          <t>VÄSTERVIK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20204-2021</t>
        </is>
      </c>
      <c r="B504" s="1" t="n">
        <v>44314</v>
      </c>
      <c r="C504" s="1" t="n">
        <v>45175</v>
      </c>
      <c r="D504" t="inlineStr">
        <is>
          <t>KALMAR LÄN</t>
        </is>
      </c>
      <c r="E504" t="inlineStr">
        <is>
          <t>VÄSTERVIK</t>
        </is>
      </c>
      <c r="F504" t="inlineStr">
        <is>
          <t>Holmen skog AB</t>
        </is>
      </c>
      <c r="G504" t="n">
        <v>12.1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21036-2021</t>
        </is>
      </c>
      <c r="B505" s="1" t="n">
        <v>44319</v>
      </c>
      <c r="C505" s="1" t="n">
        <v>45175</v>
      </c>
      <c r="D505" t="inlineStr">
        <is>
          <t>KALMAR LÄN</t>
        </is>
      </c>
      <c r="E505" t="inlineStr">
        <is>
          <t>VÄSTERVIK</t>
        </is>
      </c>
      <c r="G505" t="n">
        <v>3.1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21057-2021</t>
        </is>
      </c>
      <c r="B506" s="1" t="n">
        <v>44319</v>
      </c>
      <c r="C506" s="1" t="n">
        <v>45175</v>
      </c>
      <c r="D506" t="inlineStr">
        <is>
          <t>KALMAR LÄN</t>
        </is>
      </c>
      <c r="E506" t="inlineStr">
        <is>
          <t>VÄSTERVIK</t>
        </is>
      </c>
      <c r="G506" t="n">
        <v>5.7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20945-2021</t>
        </is>
      </c>
      <c r="B507" s="1" t="n">
        <v>44319</v>
      </c>
      <c r="C507" s="1" t="n">
        <v>45175</v>
      </c>
      <c r="D507" t="inlineStr">
        <is>
          <t>KALMAR LÄN</t>
        </is>
      </c>
      <c r="E507" t="inlineStr">
        <is>
          <t>VÄSTERVIK</t>
        </is>
      </c>
      <c r="G507" t="n">
        <v>3.7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23090-2021</t>
        </is>
      </c>
      <c r="B508" s="1" t="n">
        <v>44330</v>
      </c>
      <c r="C508" s="1" t="n">
        <v>45175</v>
      </c>
      <c r="D508" t="inlineStr">
        <is>
          <t>KALMAR LÄN</t>
        </is>
      </c>
      <c r="E508" t="inlineStr">
        <is>
          <t>VÄSTERVIK</t>
        </is>
      </c>
      <c r="F508" t="inlineStr">
        <is>
          <t>Holmen skog AB</t>
        </is>
      </c>
      <c r="G508" t="n">
        <v>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23097-2021</t>
        </is>
      </c>
      <c r="B509" s="1" t="n">
        <v>44330</v>
      </c>
      <c r="C509" s="1" t="n">
        <v>45175</v>
      </c>
      <c r="D509" t="inlineStr">
        <is>
          <t>KALMAR LÄN</t>
        </is>
      </c>
      <c r="E509" t="inlineStr">
        <is>
          <t>VÄSTERVIK</t>
        </is>
      </c>
      <c r="F509" t="inlineStr">
        <is>
          <t>Holmen skog AB</t>
        </is>
      </c>
      <c r="G509" t="n">
        <v>0.4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23628-2021</t>
        </is>
      </c>
      <c r="B510" s="1" t="n">
        <v>44334</v>
      </c>
      <c r="C510" s="1" t="n">
        <v>45175</v>
      </c>
      <c r="D510" t="inlineStr">
        <is>
          <t>KALMAR LÄN</t>
        </is>
      </c>
      <c r="E510" t="inlineStr">
        <is>
          <t>VÄSTERVIK</t>
        </is>
      </c>
      <c r="G510" t="n">
        <v>1.5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23626-2021</t>
        </is>
      </c>
      <c r="B511" s="1" t="n">
        <v>44334</v>
      </c>
      <c r="C511" s="1" t="n">
        <v>45175</v>
      </c>
      <c r="D511" t="inlineStr">
        <is>
          <t>KALMAR LÄN</t>
        </is>
      </c>
      <c r="E511" t="inlineStr">
        <is>
          <t>VÄSTERVIK</t>
        </is>
      </c>
      <c r="G511" t="n">
        <v>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23997-2021</t>
        </is>
      </c>
      <c r="B512" s="1" t="n">
        <v>44335</v>
      </c>
      <c r="C512" s="1" t="n">
        <v>45175</v>
      </c>
      <c r="D512" t="inlineStr">
        <is>
          <t>KALMAR LÄN</t>
        </is>
      </c>
      <c r="E512" t="inlineStr">
        <is>
          <t>VÄSTERVIK</t>
        </is>
      </c>
      <c r="F512" t="inlineStr">
        <is>
          <t>Sveaskog</t>
        </is>
      </c>
      <c r="G512" t="n">
        <v>1.7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23993-2021</t>
        </is>
      </c>
      <c r="B513" s="1" t="n">
        <v>44335</v>
      </c>
      <c r="C513" s="1" t="n">
        <v>45175</v>
      </c>
      <c r="D513" t="inlineStr">
        <is>
          <t>KALMAR LÄN</t>
        </is>
      </c>
      <c r="E513" t="inlineStr">
        <is>
          <t>VÄSTERVIK</t>
        </is>
      </c>
      <c r="G513" t="n">
        <v>3.1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23998-2021</t>
        </is>
      </c>
      <c r="B514" s="1" t="n">
        <v>44335</v>
      </c>
      <c r="C514" s="1" t="n">
        <v>45175</v>
      </c>
      <c r="D514" t="inlineStr">
        <is>
          <t>KALMAR LÄN</t>
        </is>
      </c>
      <c r="E514" t="inlineStr">
        <is>
          <t>VÄSTERVIK</t>
        </is>
      </c>
      <c r="F514" t="inlineStr">
        <is>
          <t>Sveaskog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23992-2021</t>
        </is>
      </c>
      <c r="B515" s="1" t="n">
        <v>44335</v>
      </c>
      <c r="C515" s="1" t="n">
        <v>45175</v>
      </c>
      <c r="D515" t="inlineStr">
        <is>
          <t>KALMAR LÄN</t>
        </is>
      </c>
      <c r="E515" t="inlineStr">
        <is>
          <t>VÄSTERVIK</t>
        </is>
      </c>
      <c r="G515" t="n">
        <v>3.1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24000-2021</t>
        </is>
      </c>
      <c r="B516" s="1" t="n">
        <v>44335</v>
      </c>
      <c r="C516" s="1" t="n">
        <v>45175</v>
      </c>
      <c r="D516" t="inlineStr">
        <is>
          <t>KALMAR LÄN</t>
        </is>
      </c>
      <c r="E516" t="inlineStr">
        <is>
          <t>VÄSTERVIK</t>
        </is>
      </c>
      <c r="F516" t="inlineStr">
        <is>
          <t>Sveaskog</t>
        </is>
      </c>
      <c r="G516" t="n">
        <v>6.9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24570-2021</t>
        </is>
      </c>
      <c r="B517" s="1" t="n">
        <v>44339</v>
      </c>
      <c r="C517" s="1" t="n">
        <v>45175</v>
      </c>
      <c r="D517" t="inlineStr">
        <is>
          <t>KALMAR LÄN</t>
        </is>
      </c>
      <c r="E517" t="inlineStr">
        <is>
          <t>VÄSTERVIK</t>
        </is>
      </c>
      <c r="F517" t="inlineStr">
        <is>
          <t>Sveaskog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25408-2021</t>
        </is>
      </c>
      <c r="B518" s="1" t="n">
        <v>44342</v>
      </c>
      <c r="C518" s="1" t="n">
        <v>45175</v>
      </c>
      <c r="D518" t="inlineStr">
        <is>
          <t>KALMAR LÄN</t>
        </is>
      </c>
      <c r="E518" t="inlineStr">
        <is>
          <t>VÄSTERVIK</t>
        </is>
      </c>
      <c r="F518" t="inlineStr">
        <is>
          <t>Holmen skog AB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25238-2021</t>
        </is>
      </c>
      <c r="B519" s="1" t="n">
        <v>44342</v>
      </c>
      <c r="C519" s="1" t="n">
        <v>45175</v>
      </c>
      <c r="D519" t="inlineStr">
        <is>
          <t>KALMAR LÄN</t>
        </is>
      </c>
      <c r="E519" t="inlineStr">
        <is>
          <t>VÄSTERVIK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25418-2021</t>
        </is>
      </c>
      <c r="B520" s="1" t="n">
        <v>44342</v>
      </c>
      <c r="C520" s="1" t="n">
        <v>45175</v>
      </c>
      <c r="D520" t="inlineStr">
        <is>
          <t>KALMAR LÄN</t>
        </is>
      </c>
      <c r="E520" t="inlineStr">
        <is>
          <t>VÄSTERVIK</t>
        </is>
      </c>
      <c r="F520" t="inlineStr">
        <is>
          <t>Holmen skog AB</t>
        </is>
      </c>
      <c r="G520" t="n">
        <v>2.7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31318-2021</t>
        </is>
      </c>
      <c r="B521" s="1" t="n">
        <v>44368</v>
      </c>
      <c r="C521" s="1" t="n">
        <v>45175</v>
      </c>
      <c r="D521" t="inlineStr">
        <is>
          <t>KALMAR LÄN</t>
        </is>
      </c>
      <c r="E521" t="inlineStr">
        <is>
          <t>VÄSTERVIK</t>
        </is>
      </c>
      <c r="G521" t="n">
        <v>1.6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31545-2021</t>
        </is>
      </c>
      <c r="B522" s="1" t="n">
        <v>44369</v>
      </c>
      <c r="C522" s="1" t="n">
        <v>45175</v>
      </c>
      <c r="D522" t="inlineStr">
        <is>
          <t>KALMAR LÄN</t>
        </is>
      </c>
      <c r="E522" t="inlineStr">
        <is>
          <t>VÄSTERVIK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31558-2021</t>
        </is>
      </c>
      <c r="B523" s="1" t="n">
        <v>44369</v>
      </c>
      <c r="C523" s="1" t="n">
        <v>45175</v>
      </c>
      <c r="D523" t="inlineStr">
        <is>
          <t>KALMAR LÄN</t>
        </is>
      </c>
      <c r="E523" t="inlineStr">
        <is>
          <t>VÄSTERVIK</t>
        </is>
      </c>
      <c r="G523" t="n">
        <v>22.9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31479-2021</t>
        </is>
      </c>
      <c r="B524" s="1" t="n">
        <v>44369</v>
      </c>
      <c r="C524" s="1" t="n">
        <v>45175</v>
      </c>
      <c r="D524" t="inlineStr">
        <is>
          <t>KALMAR LÄN</t>
        </is>
      </c>
      <c r="E524" t="inlineStr">
        <is>
          <t>VÄSTERVIK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31633-2021</t>
        </is>
      </c>
      <c r="B525" s="1" t="n">
        <v>44369</v>
      </c>
      <c r="C525" s="1" t="n">
        <v>45175</v>
      </c>
      <c r="D525" t="inlineStr">
        <is>
          <t>KALMAR LÄN</t>
        </is>
      </c>
      <c r="E525" t="inlineStr">
        <is>
          <t>VÄSTERVIK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31952-2021</t>
        </is>
      </c>
      <c r="B526" s="1" t="n">
        <v>44370</v>
      </c>
      <c r="C526" s="1" t="n">
        <v>45175</v>
      </c>
      <c r="D526" t="inlineStr">
        <is>
          <t>KALMAR LÄN</t>
        </is>
      </c>
      <c r="E526" t="inlineStr">
        <is>
          <t>VÄSTERVIK</t>
        </is>
      </c>
      <c r="G526" t="n">
        <v>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32822-2021</t>
        </is>
      </c>
      <c r="B527" s="1" t="n">
        <v>44375</v>
      </c>
      <c r="C527" s="1" t="n">
        <v>45175</v>
      </c>
      <c r="D527" t="inlineStr">
        <is>
          <t>KALMAR LÄN</t>
        </is>
      </c>
      <c r="E527" t="inlineStr">
        <is>
          <t>VÄSTERVIK</t>
        </is>
      </c>
      <c r="G527" t="n">
        <v>5.1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32583-2021</t>
        </is>
      </c>
      <c r="B528" s="1" t="n">
        <v>44375</v>
      </c>
      <c r="C528" s="1" t="n">
        <v>45175</v>
      </c>
      <c r="D528" t="inlineStr">
        <is>
          <t>KALMAR LÄN</t>
        </is>
      </c>
      <c r="E528" t="inlineStr">
        <is>
          <t>VÄSTERVIK</t>
        </is>
      </c>
      <c r="G528" t="n">
        <v>2.2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34493-2021</t>
        </is>
      </c>
      <c r="B529" s="1" t="n">
        <v>44382</v>
      </c>
      <c r="C529" s="1" t="n">
        <v>45175</v>
      </c>
      <c r="D529" t="inlineStr">
        <is>
          <t>KALMAR LÄN</t>
        </is>
      </c>
      <c r="E529" t="inlineStr">
        <is>
          <t>VÄSTERVIK</t>
        </is>
      </c>
      <c r="F529" t="inlineStr">
        <is>
          <t>Övriga Aktiebolag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34958-2021</t>
        </is>
      </c>
      <c r="B530" s="1" t="n">
        <v>44383</v>
      </c>
      <c r="C530" s="1" t="n">
        <v>45175</v>
      </c>
      <c r="D530" t="inlineStr">
        <is>
          <t>KALMAR LÄN</t>
        </is>
      </c>
      <c r="E530" t="inlineStr">
        <is>
          <t>VÄSTERVIK</t>
        </is>
      </c>
      <c r="G530" t="n">
        <v>2.7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34953-2021</t>
        </is>
      </c>
      <c r="B531" s="1" t="n">
        <v>44383</v>
      </c>
      <c r="C531" s="1" t="n">
        <v>45175</v>
      </c>
      <c r="D531" t="inlineStr">
        <is>
          <t>KALMAR LÄN</t>
        </is>
      </c>
      <c r="E531" t="inlineStr">
        <is>
          <t>VÄSTERVIK</t>
        </is>
      </c>
      <c r="G531" t="n">
        <v>4.4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36125-2021</t>
        </is>
      </c>
      <c r="B532" s="1" t="n">
        <v>44386</v>
      </c>
      <c r="C532" s="1" t="n">
        <v>45175</v>
      </c>
      <c r="D532" t="inlineStr">
        <is>
          <t>KALMAR LÄN</t>
        </is>
      </c>
      <c r="E532" t="inlineStr">
        <is>
          <t>VÄSTERVIK</t>
        </is>
      </c>
      <c r="G532" t="n">
        <v>5.1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37036-2021</t>
        </is>
      </c>
      <c r="B533" s="1" t="n">
        <v>44393</v>
      </c>
      <c r="C533" s="1" t="n">
        <v>45175</v>
      </c>
      <c r="D533" t="inlineStr">
        <is>
          <t>KALMAR LÄN</t>
        </is>
      </c>
      <c r="E533" t="inlineStr">
        <is>
          <t>VÄSTERVIK</t>
        </is>
      </c>
      <c r="G533" t="n">
        <v>16.1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37033-2021</t>
        </is>
      </c>
      <c r="B534" s="1" t="n">
        <v>44393</v>
      </c>
      <c r="C534" s="1" t="n">
        <v>45175</v>
      </c>
      <c r="D534" t="inlineStr">
        <is>
          <t>KALMAR LÄN</t>
        </is>
      </c>
      <c r="E534" t="inlineStr">
        <is>
          <t>VÄSTERVIK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37441-2021</t>
        </is>
      </c>
      <c r="B535" s="1" t="n">
        <v>44398</v>
      </c>
      <c r="C535" s="1" t="n">
        <v>45175</v>
      </c>
      <c r="D535" t="inlineStr">
        <is>
          <t>KALMAR LÄN</t>
        </is>
      </c>
      <c r="E535" t="inlineStr">
        <is>
          <t>VÄSTERVIK</t>
        </is>
      </c>
      <c r="G535" t="n">
        <v>1.6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37545-2021</t>
        </is>
      </c>
      <c r="B536" s="1" t="n">
        <v>44399</v>
      </c>
      <c r="C536" s="1" t="n">
        <v>45175</v>
      </c>
      <c r="D536" t="inlineStr">
        <is>
          <t>KALMAR LÄN</t>
        </is>
      </c>
      <c r="E536" t="inlineStr">
        <is>
          <t>VÄSTERVIK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38613-2021</t>
        </is>
      </c>
      <c r="B537" s="1" t="n">
        <v>44409</v>
      </c>
      <c r="C537" s="1" t="n">
        <v>45175</v>
      </c>
      <c r="D537" t="inlineStr">
        <is>
          <t>KALMAR LÄN</t>
        </is>
      </c>
      <c r="E537" t="inlineStr">
        <is>
          <t>VÄSTERVIK</t>
        </is>
      </c>
      <c r="G537" t="n">
        <v>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42112-2021</t>
        </is>
      </c>
      <c r="B538" s="1" t="n">
        <v>44426</v>
      </c>
      <c r="C538" s="1" t="n">
        <v>45175</v>
      </c>
      <c r="D538" t="inlineStr">
        <is>
          <t>KALMAR LÄN</t>
        </is>
      </c>
      <c r="E538" t="inlineStr">
        <is>
          <t>VÄSTERVIK</t>
        </is>
      </c>
      <c r="G538" t="n">
        <v>2.6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42137-2021</t>
        </is>
      </c>
      <c r="B539" s="1" t="n">
        <v>44426</v>
      </c>
      <c r="C539" s="1" t="n">
        <v>45175</v>
      </c>
      <c r="D539" t="inlineStr">
        <is>
          <t>KALMAR LÄN</t>
        </is>
      </c>
      <c r="E539" t="inlineStr">
        <is>
          <t>VÄSTERVIK</t>
        </is>
      </c>
      <c r="G539" t="n">
        <v>1.2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42150-2021</t>
        </is>
      </c>
      <c r="B540" s="1" t="n">
        <v>44426</v>
      </c>
      <c r="C540" s="1" t="n">
        <v>45175</v>
      </c>
      <c r="D540" t="inlineStr">
        <is>
          <t>KALMAR LÄN</t>
        </is>
      </c>
      <c r="E540" t="inlineStr">
        <is>
          <t>VÄSTERVIK</t>
        </is>
      </c>
      <c r="G540" t="n">
        <v>0.3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42164-2021</t>
        </is>
      </c>
      <c r="B541" s="1" t="n">
        <v>44426</v>
      </c>
      <c r="C541" s="1" t="n">
        <v>45175</v>
      </c>
      <c r="D541" t="inlineStr">
        <is>
          <t>KALMAR LÄN</t>
        </is>
      </c>
      <c r="E541" t="inlineStr">
        <is>
          <t>VÄSTERVIK</t>
        </is>
      </c>
      <c r="G541" t="n">
        <v>5.5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  <c r="U541">
        <f>HYPERLINK("https://klasma.github.io/Logging_VASTERVIK/knärot/A 42164-2021.png")</f>
        <v/>
      </c>
      <c r="V541">
        <f>HYPERLINK("https://klasma.github.io/Logging_VASTERVIK/klagomål/A 42164-2021.docx")</f>
        <v/>
      </c>
      <c r="W541">
        <f>HYPERLINK("https://klasma.github.io/Logging_VASTERVIK/klagomålsmail/A 42164-2021.docx")</f>
        <v/>
      </c>
      <c r="X541">
        <f>HYPERLINK("https://klasma.github.io/Logging_VASTERVIK/tillsyn/A 42164-2021.docx")</f>
        <v/>
      </c>
      <c r="Y541">
        <f>HYPERLINK("https://klasma.github.io/Logging_VASTERVIK/tillsynsmail/A 42164-2021.docx")</f>
        <v/>
      </c>
    </row>
    <row r="542" ht="15" customHeight="1">
      <c r="A542" t="inlineStr">
        <is>
          <t>A 42131-2021</t>
        </is>
      </c>
      <c r="B542" s="1" t="n">
        <v>44426</v>
      </c>
      <c r="C542" s="1" t="n">
        <v>45175</v>
      </c>
      <c r="D542" t="inlineStr">
        <is>
          <t>KALMAR LÄN</t>
        </is>
      </c>
      <c r="E542" t="inlineStr">
        <is>
          <t>VÄSTERVIK</t>
        </is>
      </c>
      <c r="G542" t="n">
        <v>2.3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42052-2021</t>
        </is>
      </c>
      <c r="B543" s="1" t="n">
        <v>44426</v>
      </c>
      <c r="C543" s="1" t="n">
        <v>45175</v>
      </c>
      <c r="D543" t="inlineStr">
        <is>
          <t>KALMAR LÄN</t>
        </is>
      </c>
      <c r="E543" t="inlineStr">
        <is>
          <t>VÄSTERVIK</t>
        </is>
      </c>
      <c r="G543" t="n">
        <v>0.6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42353-2021</t>
        </is>
      </c>
      <c r="B544" s="1" t="n">
        <v>44427</v>
      </c>
      <c r="C544" s="1" t="n">
        <v>45175</v>
      </c>
      <c r="D544" t="inlineStr">
        <is>
          <t>KALMAR LÄN</t>
        </is>
      </c>
      <c r="E544" t="inlineStr">
        <is>
          <t>VÄSTERVIK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43759-2021</t>
        </is>
      </c>
      <c r="B545" s="1" t="n">
        <v>44433</v>
      </c>
      <c r="C545" s="1" t="n">
        <v>45175</v>
      </c>
      <c r="D545" t="inlineStr">
        <is>
          <t>KALMAR LÄN</t>
        </is>
      </c>
      <c r="E545" t="inlineStr">
        <is>
          <t>VÄSTERVIK</t>
        </is>
      </c>
      <c r="G545" t="n">
        <v>0.4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43805-2021</t>
        </is>
      </c>
      <c r="B546" s="1" t="n">
        <v>44433</v>
      </c>
      <c r="C546" s="1" t="n">
        <v>45175</v>
      </c>
      <c r="D546" t="inlineStr">
        <is>
          <t>KALMAR LÄN</t>
        </is>
      </c>
      <c r="E546" t="inlineStr">
        <is>
          <t>VÄSTERVIK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43807-2021</t>
        </is>
      </c>
      <c r="B547" s="1" t="n">
        <v>44433</v>
      </c>
      <c r="C547" s="1" t="n">
        <v>45175</v>
      </c>
      <c r="D547" t="inlineStr">
        <is>
          <t>KALMAR LÄN</t>
        </is>
      </c>
      <c r="E547" t="inlineStr">
        <is>
          <t>VÄSTERVIK</t>
        </is>
      </c>
      <c r="G547" t="n">
        <v>3.2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43826-2021</t>
        </is>
      </c>
      <c r="B548" s="1" t="n">
        <v>44433</v>
      </c>
      <c r="C548" s="1" t="n">
        <v>45175</v>
      </c>
      <c r="D548" t="inlineStr">
        <is>
          <t>KALMAR LÄN</t>
        </is>
      </c>
      <c r="E548" t="inlineStr">
        <is>
          <t>VÄSTERVIK</t>
        </is>
      </c>
      <c r="G548" t="n">
        <v>4.2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43802-2021</t>
        </is>
      </c>
      <c r="B549" s="1" t="n">
        <v>44433</v>
      </c>
      <c r="C549" s="1" t="n">
        <v>45175</v>
      </c>
      <c r="D549" t="inlineStr">
        <is>
          <t>KALMAR LÄN</t>
        </is>
      </c>
      <c r="E549" t="inlineStr">
        <is>
          <t>VÄSTERVIK</t>
        </is>
      </c>
      <c r="G549" t="n">
        <v>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43808-2021</t>
        </is>
      </c>
      <c r="B550" s="1" t="n">
        <v>44433</v>
      </c>
      <c r="C550" s="1" t="n">
        <v>45175</v>
      </c>
      <c r="D550" t="inlineStr">
        <is>
          <t>KALMAR LÄN</t>
        </is>
      </c>
      <c r="E550" t="inlineStr">
        <is>
          <t>VÄSTERVIK</t>
        </is>
      </c>
      <c r="G550" t="n">
        <v>3.1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43828-2021</t>
        </is>
      </c>
      <c r="B551" s="1" t="n">
        <v>44433</v>
      </c>
      <c r="C551" s="1" t="n">
        <v>45175</v>
      </c>
      <c r="D551" t="inlineStr">
        <is>
          <t>KALMAR LÄN</t>
        </is>
      </c>
      <c r="E551" t="inlineStr">
        <is>
          <t>VÄSTERVIK</t>
        </is>
      </c>
      <c r="G551" t="n">
        <v>0.9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43803-2021</t>
        </is>
      </c>
      <c r="B552" s="1" t="n">
        <v>44433</v>
      </c>
      <c r="C552" s="1" t="n">
        <v>45175</v>
      </c>
      <c r="D552" t="inlineStr">
        <is>
          <t>KALMAR LÄN</t>
        </is>
      </c>
      <c r="E552" t="inlineStr">
        <is>
          <t>VÄSTERVIK</t>
        </is>
      </c>
      <c r="G552" t="n">
        <v>4.2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43810-2021</t>
        </is>
      </c>
      <c r="B553" s="1" t="n">
        <v>44433</v>
      </c>
      <c r="C553" s="1" t="n">
        <v>45175</v>
      </c>
      <c r="D553" t="inlineStr">
        <is>
          <t>KALMAR LÄN</t>
        </is>
      </c>
      <c r="E553" t="inlineStr">
        <is>
          <t>VÄSTERVIK</t>
        </is>
      </c>
      <c r="G553" t="n">
        <v>0.6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44454-2021</t>
        </is>
      </c>
      <c r="B554" s="1" t="n">
        <v>44435</v>
      </c>
      <c r="C554" s="1" t="n">
        <v>45175</v>
      </c>
      <c r="D554" t="inlineStr">
        <is>
          <t>KALMAR LÄN</t>
        </is>
      </c>
      <c r="E554" t="inlineStr">
        <is>
          <t>VÄSTERVIK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47404-2021</t>
        </is>
      </c>
      <c r="B555" s="1" t="n">
        <v>44447</v>
      </c>
      <c r="C555" s="1" t="n">
        <v>45175</v>
      </c>
      <c r="D555" t="inlineStr">
        <is>
          <t>KALMAR LÄN</t>
        </is>
      </c>
      <c r="E555" t="inlineStr">
        <is>
          <t>VÄSTERVIK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47530-2021</t>
        </is>
      </c>
      <c r="B556" s="1" t="n">
        <v>44447</v>
      </c>
      <c r="C556" s="1" t="n">
        <v>45175</v>
      </c>
      <c r="D556" t="inlineStr">
        <is>
          <t>KALMAR LÄN</t>
        </is>
      </c>
      <c r="E556" t="inlineStr">
        <is>
          <t>VÄSTERVIK</t>
        </is>
      </c>
      <c r="F556" t="inlineStr">
        <is>
          <t>Sveaskog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47525-2021</t>
        </is>
      </c>
      <c r="B557" s="1" t="n">
        <v>44447</v>
      </c>
      <c r="C557" s="1" t="n">
        <v>45175</v>
      </c>
      <c r="D557" t="inlineStr">
        <is>
          <t>KALMAR LÄN</t>
        </is>
      </c>
      <c r="E557" t="inlineStr">
        <is>
          <t>VÄSTERVIK</t>
        </is>
      </c>
      <c r="F557" t="inlineStr">
        <is>
          <t>Sveaskog</t>
        </is>
      </c>
      <c r="G557" t="n">
        <v>0.5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47527-2021</t>
        </is>
      </c>
      <c r="B558" s="1" t="n">
        <v>44447</v>
      </c>
      <c r="C558" s="1" t="n">
        <v>45175</v>
      </c>
      <c r="D558" t="inlineStr">
        <is>
          <t>KALMAR LÄN</t>
        </is>
      </c>
      <c r="E558" t="inlineStr">
        <is>
          <t>VÄSTERVIK</t>
        </is>
      </c>
      <c r="F558" t="inlineStr">
        <is>
          <t>Sveaskog</t>
        </is>
      </c>
      <c r="G558" t="n">
        <v>1.8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48021-2021</t>
        </is>
      </c>
      <c r="B559" s="1" t="n">
        <v>44449</v>
      </c>
      <c r="C559" s="1" t="n">
        <v>45175</v>
      </c>
      <c r="D559" t="inlineStr">
        <is>
          <t>KALMAR LÄN</t>
        </is>
      </c>
      <c r="E559" t="inlineStr">
        <is>
          <t>VÄSTERVIK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48254-2021</t>
        </is>
      </c>
      <c r="B560" s="1" t="n">
        <v>44449</v>
      </c>
      <c r="C560" s="1" t="n">
        <v>45175</v>
      </c>
      <c r="D560" t="inlineStr">
        <is>
          <t>KALMAR LÄN</t>
        </is>
      </c>
      <c r="E560" t="inlineStr">
        <is>
          <t>VÄSTERVIK</t>
        </is>
      </c>
      <c r="F560" t="inlineStr">
        <is>
          <t>Kyrkan</t>
        </is>
      </c>
      <c r="G560" t="n">
        <v>2.7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51504-2021</t>
        </is>
      </c>
      <c r="B561" s="1" t="n">
        <v>44461</v>
      </c>
      <c r="C561" s="1" t="n">
        <v>45175</v>
      </c>
      <c r="D561" t="inlineStr">
        <is>
          <t>KALMAR LÄN</t>
        </is>
      </c>
      <c r="E561" t="inlineStr">
        <is>
          <t>VÄSTERVIK</t>
        </is>
      </c>
      <c r="G561" t="n">
        <v>6.4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52155-2021</t>
        </is>
      </c>
      <c r="B562" s="1" t="n">
        <v>44463</v>
      </c>
      <c r="C562" s="1" t="n">
        <v>45175</v>
      </c>
      <c r="D562" t="inlineStr">
        <is>
          <t>KALMAR LÄN</t>
        </is>
      </c>
      <c r="E562" t="inlineStr">
        <is>
          <t>VÄSTERVIK</t>
        </is>
      </c>
      <c r="G562" t="n">
        <v>0.7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52645-2021</t>
        </is>
      </c>
      <c r="B563" s="1" t="n">
        <v>44466</v>
      </c>
      <c r="C563" s="1" t="n">
        <v>45175</v>
      </c>
      <c r="D563" t="inlineStr">
        <is>
          <t>KALMAR LÄN</t>
        </is>
      </c>
      <c r="E563" t="inlineStr">
        <is>
          <t>VÄSTERVIK</t>
        </is>
      </c>
      <c r="G563" t="n">
        <v>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53913-2021</t>
        </is>
      </c>
      <c r="B564" s="1" t="n">
        <v>44469</v>
      </c>
      <c r="C564" s="1" t="n">
        <v>45175</v>
      </c>
      <c r="D564" t="inlineStr">
        <is>
          <t>KALMAR LÄN</t>
        </is>
      </c>
      <c r="E564" t="inlineStr">
        <is>
          <t>VÄSTERVIK</t>
        </is>
      </c>
      <c r="G564" t="n">
        <v>2.4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55023-2021</t>
        </is>
      </c>
      <c r="B565" s="1" t="n">
        <v>44474</v>
      </c>
      <c r="C565" s="1" t="n">
        <v>45175</v>
      </c>
      <c r="D565" t="inlineStr">
        <is>
          <t>KALMAR LÄN</t>
        </is>
      </c>
      <c r="E565" t="inlineStr">
        <is>
          <t>VÄSTERVIK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55008-2021</t>
        </is>
      </c>
      <c r="B566" s="1" t="n">
        <v>44474</v>
      </c>
      <c r="C566" s="1" t="n">
        <v>45175</v>
      </c>
      <c r="D566" t="inlineStr">
        <is>
          <t>KALMAR LÄN</t>
        </is>
      </c>
      <c r="E566" t="inlineStr">
        <is>
          <t>VÄSTERVIK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56617-2021</t>
        </is>
      </c>
      <c r="B567" s="1" t="n">
        <v>44480</v>
      </c>
      <c r="C567" s="1" t="n">
        <v>45175</v>
      </c>
      <c r="D567" t="inlineStr">
        <is>
          <t>KALMAR LÄN</t>
        </is>
      </c>
      <c r="E567" t="inlineStr">
        <is>
          <t>VÄSTERVIK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57804-2021</t>
        </is>
      </c>
      <c r="B568" s="1" t="n">
        <v>44484</v>
      </c>
      <c r="C568" s="1" t="n">
        <v>45175</v>
      </c>
      <c r="D568" t="inlineStr">
        <is>
          <t>KALMAR LÄN</t>
        </is>
      </c>
      <c r="E568" t="inlineStr">
        <is>
          <t>VÄSTERVIK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57808-2021</t>
        </is>
      </c>
      <c r="B569" s="1" t="n">
        <v>44484</v>
      </c>
      <c r="C569" s="1" t="n">
        <v>45175</v>
      </c>
      <c r="D569" t="inlineStr">
        <is>
          <t>KALMAR LÄN</t>
        </is>
      </c>
      <c r="E569" t="inlineStr">
        <is>
          <t>VÄSTERVIK</t>
        </is>
      </c>
      <c r="G569" t="n">
        <v>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57983-2021</t>
        </is>
      </c>
      <c r="B570" s="1" t="n">
        <v>44487</v>
      </c>
      <c r="C570" s="1" t="n">
        <v>45175</v>
      </c>
      <c r="D570" t="inlineStr">
        <is>
          <t>KALMAR LÄN</t>
        </is>
      </c>
      <c r="E570" t="inlineStr">
        <is>
          <t>VÄSTERVIK</t>
        </is>
      </c>
      <c r="G570" t="n">
        <v>4.4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57928-2021</t>
        </is>
      </c>
      <c r="B571" s="1" t="n">
        <v>44487</v>
      </c>
      <c r="C571" s="1" t="n">
        <v>45175</v>
      </c>
      <c r="D571" t="inlineStr">
        <is>
          <t>KALMAR LÄN</t>
        </is>
      </c>
      <c r="E571" t="inlineStr">
        <is>
          <t>VÄSTERVIK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57937-2021</t>
        </is>
      </c>
      <c r="B572" s="1" t="n">
        <v>44487</v>
      </c>
      <c r="C572" s="1" t="n">
        <v>45175</v>
      </c>
      <c r="D572" t="inlineStr">
        <is>
          <t>KALMAR LÄN</t>
        </is>
      </c>
      <c r="E572" t="inlineStr">
        <is>
          <t>VÄSTERVIK</t>
        </is>
      </c>
      <c r="G572" t="n">
        <v>1.8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58555-2021</t>
        </is>
      </c>
      <c r="B573" s="1" t="n">
        <v>44488</v>
      </c>
      <c r="C573" s="1" t="n">
        <v>45175</v>
      </c>
      <c r="D573" t="inlineStr">
        <is>
          <t>KALMAR LÄN</t>
        </is>
      </c>
      <c r="E573" t="inlineStr">
        <is>
          <t>VÄSTERVIK</t>
        </is>
      </c>
      <c r="G573" t="n">
        <v>2.2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62930-2021</t>
        </is>
      </c>
      <c r="B574" s="1" t="n">
        <v>44504</v>
      </c>
      <c r="C574" s="1" t="n">
        <v>45175</v>
      </c>
      <c r="D574" t="inlineStr">
        <is>
          <t>KALMAR LÄN</t>
        </is>
      </c>
      <c r="E574" t="inlineStr">
        <is>
          <t>VÄSTERVIK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64497-2021</t>
        </is>
      </c>
      <c r="B575" s="1" t="n">
        <v>44511</v>
      </c>
      <c r="C575" s="1" t="n">
        <v>45175</v>
      </c>
      <c r="D575" t="inlineStr">
        <is>
          <t>KALMAR LÄN</t>
        </is>
      </c>
      <c r="E575" t="inlineStr">
        <is>
          <t>VÄSTERVIK</t>
        </is>
      </c>
      <c r="F575" t="inlineStr">
        <is>
          <t>Övriga Aktiebolag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64558-2021</t>
        </is>
      </c>
      <c r="B576" s="1" t="n">
        <v>44511</v>
      </c>
      <c r="C576" s="1" t="n">
        <v>45175</v>
      </c>
      <c r="D576" t="inlineStr">
        <is>
          <t>KALMAR LÄN</t>
        </is>
      </c>
      <c r="E576" t="inlineStr">
        <is>
          <t>VÄSTERVIK</t>
        </is>
      </c>
      <c r="F576" t="inlineStr">
        <is>
          <t>Övriga Aktiebolag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64822-2021</t>
        </is>
      </c>
      <c r="B577" s="1" t="n">
        <v>44512</v>
      </c>
      <c r="C577" s="1" t="n">
        <v>45175</v>
      </c>
      <c r="D577" t="inlineStr">
        <is>
          <t>KALMAR LÄN</t>
        </is>
      </c>
      <c r="E577" t="inlineStr">
        <is>
          <t>VÄSTERVIK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64920-2021</t>
        </is>
      </c>
      <c r="B578" s="1" t="n">
        <v>44512</v>
      </c>
      <c r="C578" s="1" t="n">
        <v>45175</v>
      </c>
      <c r="D578" t="inlineStr">
        <is>
          <t>KALMAR LÄN</t>
        </is>
      </c>
      <c r="E578" t="inlineStr">
        <is>
          <t>VÄSTERVIK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  <c r="U578">
        <f>HYPERLINK("https://klasma.github.io/Logging_VASTERVIK/knärot/A 64920-2021.png")</f>
        <v/>
      </c>
      <c r="V578">
        <f>HYPERLINK("https://klasma.github.io/Logging_VASTERVIK/klagomål/A 64920-2021.docx")</f>
        <v/>
      </c>
      <c r="W578">
        <f>HYPERLINK("https://klasma.github.io/Logging_VASTERVIK/klagomålsmail/A 64920-2021.docx")</f>
        <v/>
      </c>
      <c r="X578">
        <f>HYPERLINK("https://klasma.github.io/Logging_VASTERVIK/tillsyn/A 64920-2021.docx")</f>
        <v/>
      </c>
      <c r="Y578">
        <f>HYPERLINK("https://klasma.github.io/Logging_VASTERVIK/tillsynsmail/A 64920-2021.docx")</f>
        <v/>
      </c>
    </row>
    <row r="579" ht="15" customHeight="1">
      <c r="A579" t="inlineStr">
        <is>
          <t>A 65409-2021</t>
        </is>
      </c>
      <c r="B579" s="1" t="n">
        <v>44515</v>
      </c>
      <c r="C579" s="1" t="n">
        <v>45175</v>
      </c>
      <c r="D579" t="inlineStr">
        <is>
          <t>KALMAR LÄN</t>
        </is>
      </c>
      <c r="E579" t="inlineStr">
        <is>
          <t>VÄSTERVIK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65418-2021</t>
        </is>
      </c>
      <c r="B580" s="1" t="n">
        <v>44515</v>
      </c>
      <c r="C580" s="1" t="n">
        <v>45175</v>
      </c>
      <c r="D580" t="inlineStr">
        <is>
          <t>KALMAR LÄN</t>
        </is>
      </c>
      <c r="E580" t="inlineStr">
        <is>
          <t>VÄSTERVIK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65408-2021</t>
        </is>
      </c>
      <c r="B581" s="1" t="n">
        <v>44515</v>
      </c>
      <c r="C581" s="1" t="n">
        <v>45175</v>
      </c>
      <c r="D581" t="inlineStr">
        <is>
          <t>KALMAR LÄN</t>
        </is>
      </c>
      <c r="E581" t="inlineStr">
        <is>
          <t>VÄSTERVIK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68920-2021</t>
        </is>
      </c>
      <c r="B582" s="1" t="n">
        <v>44530</v>
      </c>
      <c r="C582" s="1" t="n">
        <v>45175</v>
      </c>
      <c r="D582" t="inlineStr">
        <is>
          <t>KALMAR LÄN</t>
        </is>
      </c>
      <c r="E582" t="inlineStr">
        <is>
          <t>VÄSTERVIK</t>
        </is>
      </c>
      <c r="G582" t="n">
        <v>1.1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72733-2021</t>
        </is>
      </c>
      <c r="B583" s="1" t="n">
        <v>44546</v>
      </c>
      <c r="C583" s="1" t="n">
        <v>45175</v>
      </c>
      <c r="D583" t="inlineStr">
        <is>
          <t>KALMAR LÄN</t>
        </is>
      </c>
      <c r="E583" t="inlineStr">
        <is>
          <t>VÄSTERVIK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166-2022</t>
        </is>
      </c>
      <c r="B584" s="1" t="n">
        <v>44564</v>
      </c>
      <c r="C584" s="1" t="n">
        <v>45175</v>
      </c>
      <c r="D584" t="inlineStr">
        <is>
          <t>KALMAR LÄN</t>
        </is>
      </c>
      <c r="E584" t="inlineStr">
        <is>
          <t>VÄSTERVIK</t>
        </is>
      </c>
      <c r="G584" t="n">
        <v>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320-2022</t>
        </is>
      </c>
      <c r="B585" s="1" t="n">
        <v>44565</v>
      </c>
      <c r="C585" s="1" t="n">
        <v>45175</v>
      </c>
      <c r="D585" t="inlineStr">
        <is>
          <t>KALMAR LÄN</t>
        </is>
      </c>
      <c r="E585" t="inlineStr">
        <is>
          <t>VÄSTERVIK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959-2022</t>
        </is>
      </c>
      <c r="B586" s="1" t="n">
        <v>44571</v>
      </c>
      <c r="C586" s="1" t="n">
        <v>45175</v>
      </c>
      <c r="D586" t="inlineStr">
        <is>
          <t>KALMAR LÄN</t>
        </is>
      </c>
      <c r="E586" t="inlineStr">
        <is>
          <t>VÄSTERVIK</t>
        </is>
      </c>
      <c r="G586" t="n">
        <v>2.5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1585-2022</t>
        </is>
      </c>
      <c r="B587" s="1" t="n">
        <v>44573</v>
      </c>
      <c r="C587" s="1" t="n">
        <v>45175</v>
      </c>
      <c r="D587" t="inlineStr">
        <is>
          <t>KALMAR LÄN</t>
        </is>
      </c>
      <c r="E587" t="inlineStr">
        <is>
          <t>VÄSTERVIK</t>
        </is>
      </c>
      <c r="F587" t="inlineStr">
        <is>
          <t>Holmen skog AB</t>
        </is>
      </c>
      <c r="G587" t="n">
        <v>2.4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3718-2022</t>
        </is>
      </c>
      <c r="B588" s="1" t="n">
        <v>44586</v>
      </c>
      <c r="C588" s="1" t="n">
        <v>45175</v>
      </c>
      <c r="D588" t="inlineStr">
        <is>
          <t>KALMAR LÄN</t>
        </is>
      </c>
      <c r="E588" t="inlineStr">
        <is>
          <t>VÄSTERVIK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4463-2022</t>
        </is>
      </c>
      <c r="B589" s="1" t="n">
        <v>44589</v>
      </c>
      <c r="C589" s="1" t="n">
        <v>45175</v>
      </c>
      <c r="D589" t="inlineStr">
        <is>
          <t>KALMAR LÄN</t>
        </is>
      </c>
      <c r="E589" t="inlineStr">
        <is>
          <t>VÄSTERVIK</t>
        </is>
      </c>
      <c r="F589" t="inlineStr">
        <is>
          <t>Holmen skog AB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5450-2022</t>
        </is>
      </c>
      <c r="B590" s="1" t="n">
        <v>44595</v>
      </c>
      <c r="C590" s="1" t="n">
        <v>45175</v>
      </c>
      <c r="D590" t="inlineStr">
        <is>
          <t>KALMAR LÄN</t>
        </is>
      </c>
      <c r="E590" t="inlineStr">
        <is>
          <t>VÄSTERVIK</t>
        </is>
      </c>
      <c r="G590" t="n">
        <v>0.7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5761-2022</t>
        </is>
      </c>
      <c r="B591" s="1" t="n">
        <v>44596</v>
      </c>
      <c r="C591" s="1" t="n">
        <v>45175</v>
      </c>
      <c r="D591" t="inlineStr">
        <is>
          <t>KALMAR LÄN</t>
        </is>
      </c>
      <c r="E591" t="inlineStr">
        <is>
          <t>VÄSTERVIK</t>
        </is>
      </c>
      <c r="G591" t="n">
        <v>4.5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8355-2022</t>
        </is>
      </c>
      <c r="B592" s="1" t="n">
        <v>44610</v>
      </c>
      <c r="C592" s="1" t="n">
        <v>45175</v>
      </c>
      <c r="D592" t="inlineStr">
        <is>
          <t>KALMAR LÄN</t>
        </is>
      </c>
      <c r="E592" t="inlineStr">
        <is>
          <t>VÄSTERVIK</t>
        </is>
      </c>
      <c r="F592" t="inlineStr">
        <is>
          <t>Holmen skog AB</t>
        </is>
      </c>
      <c r="G592" t="n">
        <v>2.3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9025-2022</t>
        </is>
      </c>
      <c r="B593" s="1" t="n">
        <v>44615</v>
      </c>
      <c r="C593" s="1" t="n">
        <v>45175</v>
      </c>
      <c r="D593" t="inlineStr">
        <is>
          <t>KALMAR LÄN</t>
        </is>
      </c>
      <c r="E593" t="inlineStr">
        <is>
          <t>VÄSTERVIK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9605-2022</t>
        </is>
      </c>
      <c r="B594" s="1" t="n">
        <v>44617</v>
      </c>
      <c r="C594" s="1" t="n">
        <v>45175</v>
      </c>
      <c r="D594" t="inlineStr">
        <is>
          <t>KALMAR LÄN</t>
        </is>
      </c>
      <c r="E594" t="inlineStr">
        <is>
          <t>VÄSTERVIK</t>
        </is>
      </c>
      <c r="F594" t="inlineStr">
        <is>
          <t>Holmen skog AB</t>
        </is>
      </c>
      <c r="G594" t="n">
        <v>4.5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  <c r="U594">
        <f>HYPERLINK("https://klasma.github.io/Logging_VASTERVIK/knärot/A 9605-2022.png")</f>
        <v/>
      </c>
      <c r="V594">
        <f>HYPERLINK("https://klasma.github.io/Logging_VASTERVIK/klagomål/A 9605-2022.docx")</f>
        <v/>
      </c>
      <c r="W594">
        <f>HYPERLINK("https://klasma.github.io/Logging_VASTERVIK/klagomålsmail/A 9605-2022.docx")</f>
        <v/>
      </c>
      <c r="X594">
        <f>HYPERLINK("https://klasma.github.io/Logging_VASTERVIK/tillsyn/A 9605-2022.docx")</f>
        <v/>
      </c>
      <c r="Y594">
        <f>HYPERLINK("https://klasma.github.io/Logging_VASTERVIK/tillsynsmail/A 9605-2022.docx")</f>
        <v/>
      </c>
    </row>
    <row r="595" ht="15" customHeight="1">
      <c r="A595" t="inlineStr">
        <is>
          <t>A 9678-2022</t>
        </is>
      </c>
      <c r="B595" s="1" t="n">
        <v>44617</v>
      </c>
      <c r="C595" s="1" t="n">
        <v>45175</v>
      </c>
      <c r="D595" t="inlineStr">
        <is>
          <t>KALMAR LÄN</t>
        </is>
      </c>
      <c r="E595" t="inlineStr">
        <is>
          <t>VÄSTERVIK</t>
        </is>
      </c>
      <c r="F595" t="inlineStr">
        <is>
          <t>Holmen skog AB</t>
        </is>
      </c>
      <c r="G595" t="n">
        <v>2.2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10071-2022</t>
        </is>
      </c>
      <c r="B596" s="1" t="n">
        <v>44621</v>
      </c>
      <c r="C596" s="1" t="n">
        <v>45175</v>
      </c>
      <c r="D596" t="inlineStr">
        <is>
          <t>KALMAR LÄN</t>
        </is>
      </c>
      <c r="E596" t="inlineStr">
        <is>
          <t>VÄSTERVIK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10116-2022</t>
        </is>
      </c>
      <c r="B597" s="1" t="n">
        <v>44621</v>
      </c>
      <c r="C597" s="1" t="n">
        <v>45175</v>
      </c>
      <c r="D597" t="inlineStr">
        <is>
          <t>KALMAR LÄN</t>
        </is>
      </c>
      <c r="E597" t="inlineStr">
        <is>
          <t>VÄSTERVIK</t>
        </is>
      </c>
      <c r="G597" t="n">
        <v>1.6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10406-2022</t>
        </is>
      </c>
      <c r="B598" s="1" t="n">
        <v>44623</v>
      </c>
      <c r="C598" s="1" t="n">
        <v>45175</v>
      </c>
      <c r="D598" t="inlineStr">
        <is>
          <t>KALMAR LÄN</t>
        </is>
      </c>
      <c r="E598" t="inlineStr">
        <is>
          <t>VÄSTERVIK</t>
        </is>
      </c>
      <c r="F598" t="inlineStr">
        <is>
          <t>Holmen skog AB</t>
        </is>
      </c>
      <c r="G598" t="n">
        <v>1.4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10441-2022</t>
        </is>
      </c>
      <c r="B599" s="1" t="n">
        <v>44623</v>
      </c>
      <c r="C599" s="1" t="n">
        <v>45175</v>
      </c>
      <c r="D599" t="inlineStr">
        <is>
          <t>KALMAR LÄN</t>
        </is>
      </c>
      <c r="E599" t="inlineStr">
        <is>
          <t>VÄSTERVIK</t>
        </is>
      </c>
      <c r="F599" t="inlineStr">
        <is>
          <t>Holmen skog AB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10452-2022</t>
        </is>
      </c>
      <c r="B600" s="1" t="n">
        <v>44623</v>
      </c>
      <c r="C600" s="1" t="n">
        <v>45175</v>
      </c>
      <c r="D600" t="inlineStr">
        <is>
          <t>KALMAR LÄN</t>
        </is>
      </c>
      <c r="E600" t="inlineStr">
        <is>
          <t>VÄSTERVIK</t>
        </is>
      </c>
      <c r="F600" t="inlineStr">
        <is>
          <t>Holmen skog AB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11609-2022</t>
        </is>
      </c>
      <c r="B601" s="1" t="n">
        <v>44631</v>
      </c>
      <c r="C601" s="1" t="n">
        <v>45175</v>
      </c>
      <c r="D601" t="inlineStr">
        <is>
          <t>KALMAR LÄN</t>
        </is>
      </c>
      <c r="E601" t="inlineStr">
        <is>
          <t>VÄSTERVIK</t>
        </is>
      </c>
      <c r="F601" t="inlineStr">
        <is>
          <t>Holmen skog AB</t>
        </is>
      </c>
      <c r="G601" t="n">
        <v>3.2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12652-2022</t>
        </is>
      </c>
      <c r="B602" s="1" t="n">
        <v>44641</v>
      </c>
      <c r="C602" s="1" t="n">
        <v>45175</v>
      </c>
      <c r="D602" t="inlineStr">
        <is>
          <t>KALMAR LÄN</t>
        </is>
      </c>
      <c r="E602" t="inlineStr">
        <is>
          <t>VÄSTERVIK</t>
        </is>
      </c>
      <c r="F602" t="inlineStr">
        <is>
          <t>Holmen skog AB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13489-2022</t>
        </is>
      </c>
      <c r="B603" s="1" t="n">
        <v>44646</v>
      </c>
      <c r="C603" s="1" t="n">
        <v>45175</v>
      </c>
      <c r="D603" t="inlineStr">
        <is>
          <t>KALMAR LÄN</t>
        </is>
      </c>
      <c r="E603" t="inlineStr">
        <is>
          <t>VÄSTERVIK</t>
        </is>
      </c>
      <c r="G603" t="n">
        <v>2.5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13490-2022</t>
        </is>
      </c>
      <c r="B604" s="1" t="n">
        <v>44646</v>
      </c>
      <c r="C604" s="1" t="n">
        <v>45175</v>
      </c>
      <c r="D604" t="inlineStr">
        <is>
          <t>KALMAR LÄN</t>
        </is>
      </c>
      <c r="E604" t="inlineStr">
        <is>
          <t>VÄSTERVIK</t>
        </is>
      </c>
      <c r="G604" t="n">
        <v>2.4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13491-2022</t>
        </is>
      </c>
      <c r="B605" s="1" t="n">
        <v>44646</v>
      </c>
      <c r="C605" s="1" t="n">
        <v>45175</v>
      </c>
      <c r="D605" t="inlineStr">
        <is>
          <t>KALMAR LÄN</t>
        </is>
      </c>
      <c r="E605" t="inlineStr">
        <is>
          <t>VÄSTERVIK</t>
        </is>
      </c>
      <c r="G605" t="n">
        <v>2.3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13765-2022</t>
        </is>
      </c>
      <c r="B606" s="1" t="n">
        <v>44649</v>
      </c>
      <c r="C606" s="1" t="n">
        <v>45175</v>
      </c>
      <c r="D606" t="inlineStr">
        <is>
          <t>KALMAR LÄN</t>
        </is>
      </c>
      <c r="E606" t="inlineStr">
        <is>
          <t>VÄSTERVIK</t>
        </is>
      </c>
      <c r="G606" t="n">
        <v>2.3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14038-2022</t>
        </is>
      </c>
      <c r="B607" s="1" t="n">
        <v>44650</v>
      </c>
      <c r="C607" s="1" t="n">
        <v>45175</v>
      </c>
      <c r="D607" t="inlineStr">
        <is>
          <t>KALMAR LÄN</t>
        </is>
      </c>
      <c r="E607" t="inlineStr">
        <is>
          <t>VÄSTERVIK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14212-2022</t>
        </is>
      </c>
      <c r="B608" s="1" t="n">
        <v>44651</v>
      </c>
      <c r="C608" s="1" t="n">
        <v>45175</v>
      </c>
      <c r="D608" t="inlineStr">
        <is>
          <t>KALMAR LÄN</t>
        </is>
      </c>
      <c r="E608" t="inlineStr">
        <is>
          <t>VÄSTERVIK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14529-2022</t>
        </is>
      </c>
      <c r="B609" s="1" t="n">
        <v>44655</v>
      </c>
      <c r="C609" s="1" t="n">
        <v>45175</v>
      </c>
      <c r="D609" t="inlineStr">
        <is>
          <t>KALMAR LÄN</t>
        </is>
      </c>
      <c r="E609" t="inlineStr">
        <is>
          <t>VÄSTERVIK</t>
        </is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16207-2022</t>
        </is>
      </c>
      <c r="B610" s="1" t="n">
        <v>44669</v>
      </c>
      <c r="C610" s="1" t="n">
        <v>45175</v>
      </c>
      <c r="D610" t="inlineStr">
        <is>
          <t>KALMAR LÄN</t>
        </is>
      </c>
      <c r="E610" t="inlineStr">
        <is>
          <t>VÄSTERVIK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17954-2022</t>
        </is>
      </c>
      <c r="B611" s="1" t="n">
        <v>44683</v>
      </c>
      <c r="C611" s="1" t="n">
        <v>45175</v>
      </c>
      <c r="D611" t="inlineStr">
        <is>
          <t>KALMAR LÄN</t>
        </is>
      </c>
      <c r="E611" t="inlineStr">
        <is>
          <t>VÄSTERVIK</t>
        </is>
      </c>
      <c r="F611" t="inlineStr">
        <is>
          <t>Sveaskog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19648-2022</t>
        </is>
      </c>
      <c r="B612" s="1" t="n">
        <v>44694</v>
      </c>
      <c r="C612" s="1" t="n">
        <v>45175</v>
      </c>
      <c r="D612" t="inlineStr">
        <is>
          <t>KALMAR LÄN</t>
        </is>
      </c>
      <c r="E612" t="inlineStr">
        <is>
          <t>VÄSTERVIK</t>
        </is>
      </c>
      <c r="F612" t="inlineStr">
        <is>
          <t>Sveaskog</t>
        </is>
      </c>
      <c r="G612" t="n">
        <v>2.7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23167-2022</t>
        </is>
      </c>
      <c r="B613" s="1" t="n">
        <v>44719</v>
      </c>
      <c r="C613" s="1" t="n">
        <v>45175</v>
      </c>
      <c r="D613" t="inlineStr">
        <is>
          <t>KALMAR LÄN</t>
        </is>
      </c>
      <c r="E613" t="inlineStr">
        <is>
          <t>VÄSTERVIK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23589-2022</t>
        </is>
      </c>
      <c r="B614" s="1" t="n">
        <v>44721</v>
      </c>
      <c r="C614" s="1" t="n">
        <v>45175</v>
      </c>
      <c r="D614" t="inlineStr">
        <is>
          <t>KALMAR LÄN</t>
        </is>
      </c>
      <c r="E614" t="inlineStr">
        <is>
          <t>VÄSTERVIK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24040-2022</t>
        </is>
      </c>
      <c r="B615" s="1" t="n">
        <v>44724</v>
      </c>
      <c r="C615" s="1" t="n">
        <v>45175</v>
      </c>
      <c r="D615" t="inlineStr">
        <is>
          <t>KALMAR LÄN</t>
        </is>
      </c>
      <c r="E615" t="inlineStr">
        <is>
          <t>VÄSTERVIK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26059-2022</t>
        </is>
      </c>
      <c r="B616" s="1" t="n">
        <v>44734</v>
      </c>
      <c r="C616" s="1" t="n">
        <v>45175</v>
      </c>
      <c r="D616" t="inlineStr">
        <is>
          <t>KALMAR LÄN</t>
        </is>
      </c>
      <c r="E616" t="inlineStr">
        <is>
          <t>VÄSTERVIK</t>
        </is>
      </c>
      <c r="G616" t="n">
        <v>1.6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28679-2022</t>
        </is>
      </c>
      <c r="B617" s="1" t="n">
        <v>44748</v>
      </c>
      <c r="C617" s="1" t="n">
        <v>45175</v>
      </c>
      <c r="D617" t="inlineStr">
        <is>
          <t>KALMAR LÄN</t>
        </is>
      </c>
      <c r="E617" t="inlineStr">
        <is>
          <t>VÄSTERVIK</t>
        </is>
      </c>
      <c r="G617" t="n">
        <v>1.4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28588-2022</t>
        </is>
      </c>
      <c r="B618" s="1" t="n">
        <v>44748</v>
      </c>
      <c r="C618" s="1" t="n">
        <v>45175</v>
      </c>
      <c r="D618" t="inlineStr">
        <is>
          <t>KALMAR LÄN</t>
        </is>
      </c>
      <c r="E618" t="inlineStr">
        <is>
          <t>VÄSTERVIK</t>
        </is>
      </c>
      <c r="F618" t="inlineStr">
        <is>
          <t>Övriga Aktiebolag</t>
        </is>
      </c>
      <c r="G618" t="n">
        <v>1.7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29816-2022</t>
        </is>
      </c>
      <c r="B619" s="1" t="n">
        <v>44755</v>
      </c>
      <c r="C619" s="1" t="n">
        <v>45175</v>
      </c>
      <c r="D619" t="inlineStr">
        <is>
          <t>KALMAR LÄN</t>
        </is>
      </c>
      <c r="E619" t="inlineStr">
        <is>
          <t>VÄSTERVIK</t>
        </is>
      </c>
      <c r="F619" t="inlineStr">
        <is>
          <t>Holmen skog AB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29909-2022</t>
        </is>
      </c>
      <c r="B620" s="1" t="n">
        <v>44756</v>
      </c>
      <c r="C620" s="1" t="n">
        <v>45175</v>
      </c>
      <c r="D620" t="inlineStr">
        <is>
          <t>KALMAR LÄN</t>
        </is>
      </c>
      <c r="E620" t="inlineStr">
        <is>
          <t>VÄSTERVIK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30186-2022</t>
        </is>
      </c>
      <c r="B621" s="1" t="n">
        <v>44757</v>
      </c>
      <c r="C621" s="1" t="n">
        <v>45175</v>
      </c>
      <c r="D621" t="inlineStr">
        <is>
          <t>KALMAR LÄN</t>
        </is>
      </c>
      <c r="E621" t="inlineStr">
        <is>
          <t>VÄSTERVIK</t>
        </is>
      </c>
      <c r="F621" t="inlineStr">
        <is>
          <t>Övriga Aktiebolag</t>
        </is>
      </c>
      <c r="G621" t="n">
        <v>1.5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32702-2022</t>
        </is>
      </c>
      <c r="B622" s="1" t="n">
        <v>44783</v>
      </c>
      <c r="C622" s="1" t="n">
        <v>45175</v>
      </c>
      <c r="D622" t="inlineStr">
        <is>
          <t>KALMAR LÄN</t>
        </is>
      </c>
      <c r="E622" t="inlineStr">
        <is>
          <t>VÄSTERVIK</t>
        </is>
      </c>
      <c r="F622" t="inlineStr">
        <is>
          <t>Holmen skog AB</t>
        </is>
      </c>
      <c r="G622" t="n">
        <v>3.5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32763-2022</t>
        </is>
      </c>
      <c r="B623" s="1" t="n">
        <v>44783</v>
      </c>
      <c r="C623" s="1" t="n">
        <v>45175</v>
      </c>
      <c r="D623" t="inlineStr">
        <is>
          <t>KALMAR LÄN</t>
        </is>
      </c>
      <c r="E623" t="inlineStr">
        <is>
          <t>VÄSTERVIK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32764-2022</t>
        </is>
      </c>
      <c r="B624" s="1" t="n">
        <v>44783</v>
      </c>
      <c r="C624" s="1" t="n">
        <v>45175</v>
      </c>
      <c r="D624" t="inlineStr">
        <is>
          <t>KALMAR LÄN</t>
        </is>
      </c>
      <c r="E624" t="inlineStr">
        <is>
          <t>VÄSTERVIK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33206-2022</t>
        </is>
      </c>
      <c r="B625" s="1" t="n">
        <v>44785</v>
      </c>
      <c r="C625" s="1" t="n">
        <v>45175</v>
      </c>
      <c r="D625" t="inlineStr">
        <is>
          <t>KALMAR LÄN</t>
        </is>
      </c>
      <c r="E625" t="inlineStr">
        <is>
          <t>VÄSTERVIK</t>
        </is>
      </c>
      <c r="G625" t="n">
        <v>1.8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33204-2022</t>
        </is>
      </c>
      <c r="B626" s="1" t="n">
        <v>44785</v>
      </c>
      <c r="C626" s="1" t="n">
        <v>45175</v>
      </c>
      <c r="D626" t="inlineStr">
        <is>
          <t>KALMAR LÄN</t>
        </is>
      </c>
      <c r="E626" t="inlineStr">
        <is>
          <t>VÄSTERVIK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33208-2022</t>
        </is>
      </c>
      <c r="B627" s="1" t="n">
        <v>44785</v>
      </c>
      <c r="C627" s="1" t="n">
        <v>45175</v>
      </c>
      <c r="D627" t="inlineStr">
        <is>
          <t>KALMAR LÄN</t>
        </is>
      </c>
      <c r="E627" t="inlineStr">
        <is>
          <t>VÄSTERVIK</t>
        </is>
      </c>
      <c r="G627" t="n">
        <v>2.6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34241-2022</t>
        </is>
      </c>
      <c r="B628" s="1" t="n">
        <v>44791</v>
      </c>
      <c r="C628" s="1" t="n">
        <v>45175</v>
      </c>
      <c r="D628" t="inlineStr">
        <is>
          <t>KALMAR LÄN</t>
        </is>
      </c>
      <c r="E628" t="inlineStr">
        <is>
          <t>VÄSTERVIK</t>
        </is>
      </c>
      <c r="F628" t="inlineStr">
        <is>
          <t>Holmen skog AB</t>
        </is>
      </c>
      <c r="G628" t="n">
        <v>4.1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34495-2022</t>
        </is>
      </c>
      <c r="B629" s="1" t="n">
        <v>44792</v>
      </c>
      <c r="C629" s="1" t="n">
        <v>45175</v>
      </c>
      <c r="D629" t="inlineStr">
        <is>
          <t>KALMAR LÄN</t>
        </is>
      </c>
      <c r="E629" t="inlineStr">
        <is>
          <t>VÄSTERVIK</t>
        </is>
      </c>
      <c r="F629" t="inlineStr">
        <is>
          <t>Holmen skog AB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34644-2022</t>
        </is>
      </c>
      <c r="B630" s="1" t="n">
        <v>44795</v>
      </c>
      <c r="C630" s="1" t="n">
        <v>45175</v>
      </c>
      <c r="D630" t="inlineStr">
        <is>
          <t>KALMAR LÄN</t>
        </is>
      </c>
      <c r="E630" t="inlineStr">
        <is>
          <t>VÄSTERVIK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34675-2022</t>
        </is>
      </c>
      <c r="B631" s="1" t="n">
        <v>44795</v>
      </c>
      <c r="C631" s="1" t="n">
        <v>45175</v>
      </c>
      <c r="D631" t="inlineStr">
        <is>
          <t>KALMAR LÄN</t>
        </is>
      </c>
      <c r="E631" t="inlineStr">
        <is>
          <t>VÄSTERVIK</t>
        </is>
      </c>
      <c r="G631" t="n">
        <v>0.8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34836-2022</t>
        </is>
      </c>
      <c r="B632" s="1" t="n">
        <v>44796</v>
      </c>
      <c r="C632" s="1" t="n">
        <v>45175</v>
      </c>
      <c r="D632" t="inlineStr">
        <is>
          <t>KALMAR LÄN</t>
        </is>
      </c>
      <c r="E632" t="inlineStr">
        <is>
          <t>VÄSTERVIK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35417-2022</t>
        </is>
      </c>
      <c r="B633" s="1" t="n">
        <v>44798</v>
      </c>
      <c r="C633" s="1" t="n">
        <v>45175</v>
      </c>
      <c r="D633" t="inlineStr">
        <is>
          <t>KALMAR LÄN</t>
        </is>
      </c>
      <c r="E633" t="inlineStr">
        <is>
          <t>VÄSTERVIK</t>
        </is>
      </c>
      <c r="G633" t="n">
        <v>5.2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38069-2022</t>
        </is>
      </c>
      <c r="B634" s="1" t="n">
        <v>44811</v>
      </c>
      <c r="C634" s="1" t="n">
        <v>45175</v>
      </c>
      <c r="D634" t="inlineStr">
        <is>
          <t>KALMAR LÄN</t>
        </is>
      </c>
      <c r="E634" t="inlineStr">
        <is>
          <t>VÄSTERVIK</t>
        </is>
      </c>
      <c r="G634" t="n">
        <v>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38399-2022</t>
        </is>
      </c>
      <c r="B635" s="1" t="n">
        <v>44812</v>
      </c>
      <c r="C635" s="1" t="n">
        <v>45175</v>
      </c>
      <c r="D635" t="inlineStr">
        <is>
          <t>KALMAR LÄN</t>
        </is>
      </c>
      <c r="E635" t="inlineStr">
        <is>
          <t>VÄSTERVIK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40062-2022</t>
        </is>
      </c>
      <c r="B636" s="1" t="n">
        <v>44820</v>
      </c>
      <c r="C636" s="1" t="n">
        <v>45175</v>
      </c>
      <c r="D636" t="inlineStr">
        <is>
          <t>KALMAR LÄN</t>
        </is>
      </c>
      <c r="E636" t="inlineStr">
        <is>
          <t>VÄSTERVIK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42130-2022</t>
        </is>
      </c>
      <c r="B637" s="1" t="n">
        <v>44830</v>
      </c>
      <c r="C637" s="1" t="n">
        <v>45175</v>
      </c>
      <c r="D637" t="inlineStr">
        <is>
          <t>KALMAR LÄN</t>
        </is>
      </c>
      <c r="E637" t="inlineStr">
        <is>
          <t>VÄSTERVIK</t>
        </is>
      </c>
      <c r="G637" t="n">
        <v>1.8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45721-2022</t>
        </is>
      </c>
      <c r="B638" s="1" t="n">
        <v>44845</v>
      </c>
      <c r="C638" s="1" t="n">
        <v>45175</v>
      </c>
      <c r="D638" t="inlineStr">
        <is>
          <t>KALMAR LÄN</t>
        </is>
      </c>
      <c r="E638" t="inlineStr">
        <is>
          <t>VÄSTERVIK</t>
        </is>
      </c>
      <c r="F638" t="inlineStr">
        <is>
          <t>Holmen skog AB</t>
        </is>
      </c>
      <c r="G638" t="n">
        <v>3.3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46018-2022</t>
        </is>
      </c>
      <c r="B639" s="1" t="n">
        <v>44846</v>
      </c>
      <c r="C639" s="1" t="n">
        <v>45175</v>
      </c>
      <c r="D639" t="inlineStr">
        <is>
          <t>KALMAR LÄN</t>
        </is>
      </c>
      <c r="E639" t="inlineStr">
        <is>
          <t>VÄSTERVIK</t>
        </is>
      </c>
      <c r="F639" t="inlineStr">
        <is>
          <t>Holmen skog AB</t>
        </is>
      </c>
      <c r="G639" t="n">
        <v>1.7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46267-2022</t>
        </is>
      </c>
      <c r="B640" s="1" t="n">
        <v>44847</v>
      </c>
      <c r="C640" s="1" t="n">
        <v>45175</v>
      </c>
      <c r="D640" t="inlineStr">
        <is>
          <t>KALMAR LÄN</t>
        </is>
      </c>
      <c r="E640" t="inlineStr">
        <is>
          <t>VÄSTERVIK</t>
        </is>
      </c>
      <c r="G640" t="n">
        <v>1.7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46561-2022</t>
        </is>
      </c>
      <c r="B641" s="1" t="n">
        <v>44848</v>
      </c>
      <c r="C641" s="1" t="n">
        <v>45175</v>
      </c>
      <c r="D641" t="inlineStr">
        <is>
          <t>KALMAR LÄN</t>
        </is>
      </c>
      <c r="E641" t="inlineStr">
        <is>
          <t>VÄSTERVIK</t>
        </is>
      </c>
      <c r="F641" t="inlineStr">
        <is>
          <t>Sveaskog</t>
        </is>
      </c>
      <c r="G641" t="n">
        <v>2.9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46560-2022</t>
        </is>
      </c>
      <c r="B642" s="1" t="n">
        <v>44848</v>
      </c>
      <c r="C642" s="1" t="n">
        <v>45175</v>
      </c>
      <c r="D642" t="inlineStr">
        <is>
          <t>KALMAR LÄN</t>
        </is>
      </c>
      <c r="E642" t="inlineStr">
        <is>
          <t>VÄSTERVIK</t>
        </is>
      </c>
      <c r="F642" t="inlineStr">
        <is>
          <t>Sveaskog</t>
        </is>
      </c>
      <c r="G642" t="n">
        <v>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46354-2022</t>
        </is>
      </c>
      <c r="B643" s="1" t="n">
        <v>44848</v>
      </c>
      <c r="C643" s="1" t="n">
        <v>45175</v>
      </c>
      <c r="D643" t="inlineStr">
        <is>
          <t>KALMAR LÄN</t>
        </is>
      </c>
      <c r="E643" t="inlineStr">
        <is>
          <t>VÄSTERVIK</t>
        </is>
      </c>
      <c r="F643" t="inlineStr">
        <is>
          <t>Holmen skog AB</t>
        </is>
      </c>
      <c r="G643" t="n">
        <v>1.3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46562-2022</t>
        </is>
      </c>
      <c r="B644" s="1" t="n">
        <v>44848</v>
      </c>
      <c r="C644" s="1" t="n">
        <v>45175</v>
      </c>
      <c r="D644" t="inlineStr">
        <is>
          <t>KALMAR LÄN</t>
        </is>
      </c>
      <c r="E644" t="inlineStr">
        <is>
          <t>VÄSTERVIK</t>
        </is>
      </c>
      <c r="F644" t="inlineStr">
        <is>
          <t>Sveaskog</t>
        </is>
      </c>
      <c r="G644" t="n">
        <v>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46790-2022</t>
        </is>
      </c>
      <c r="B645" s="1" t="n">
        <v>44851</v>
      </c>
      <c r="C645" s="1" t="n">
        <v>45175</v>
      </c>
      <c r="D645" t="inlineStr">
        <is>
          <t>KALMAR LÄN</t>
        </is>
      </c>
      <c r="E645" t="inlineStr">
        <is>
          <t>VÄSTERVIK</t>
        </is>
      </c>
      <c r="G645" t="n">
        <v>9.9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49276-2022</t>
        </is>
      </c>
      <c r="B646" s="1" t="n">
        <v>44858</v>
      </c>
      <c r="C646" s="1" t="n">
        <v>45175</v>
      </c>
      <c r="D646" t="inlineStr">
        <is>
          <t>KALMAR LÄN</t>
        </is>
      </c>
      <c r="E646" t="inlineStr">
        <is>
          <t>VÄSTERVIK</t>
        </is>
      </c>
      <c r="F646" t="inlineStr">
        <is>
          <t>Övriga Aktiebolag</t>
        </is>
      </c>
      <c r="G646" t="n">
        <v>2.4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48888-2022</t>
        </is>
      </c>
      <c r="B647" s="1" t="n">
        <v>44859</v>
      </c>
      <c r="C647" s="1" t="n">
        <v>45175</v>
      </c>
      <c r="D647" t="inlineStr">
        <is>
          <t>KALMAR LÄN</t>
        </is>
      </c>
      <c r="E647" t="inlineStr">
        <is>
          <t>VÄSTERVIK</t>
        </is>
      </c>
      <c r="F647" t="inlineStr">
        <is>
          <t>Holmen skog AB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48553-2022</t>
        </is>
      </c>
      <c r="B648" s="1" t="n">
        <v>44859</v>
      </c>
      <c r="C648" s="1" t="n">
        <v>45175</v>
      </c>
      <c r="D648" t="inlineStr">
        <is>
          <t>KALMAR LÄN</t>
        </is>
      </c>
      <c r="E648" t="inlineStr">
        <is>
          <t>VÄSTERVIK</t>
        </is>
      </c>
      <c r="F648" t="inlineStr">
        <is>
          <t>Holmen skog AB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49205-2022</t>
        </is>
      </c>
      <c r="B649" s="1" t="n">
        <v>44860</v>
      </c>
      <c r="C649" s="1" t="n">
        <v>45175</v>
      </c>
      <c r="D649" t="inlineStr">
        <is>
          <t>KALMAR LÄN</t>
        </is>
      </c>
      <c r="E649" t="inlineStr">
        <is>
          <t>VÄSTERVIK</t>
        </is>
      </c>
      <c r="F649" t="inlineStr">
        <is>
          <t>Holmen skog AB</t>
        </is>
      </c>
      <c r="G649" t="n">
        <v>3.1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50253-2022</t>
        </is>
      </c>
      <c r="B650" s="1" t="n">
        <v>44860</v>
      </c>
      <c r="C650" s="1" t="n">
        <v>45175</v>
      </c>
      <c r="D650" t="inlineStr">
        <is>
          <t>KALMAR LÄN</t>
        </is>
      </c>
      <c r="E650" t="inlineStr">
        <is>
          <t>VÄSTERVIK</t>
        </is>
      </c>
      <c r="G650" t="n">
        <v>2.7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50691-2022</t>
        </is>
      </c>
      <c r="B651" s="1" t="n">
        <v>44867</v>
      </c>
      <c r="C651" s="1" t="n">
        <v>45175</v>
      </c>
      <c r="D651" t="inlineStr">
        <is>
          <t>KALMAR LÄN</t>
        </is>
      </c>
      <c r="E651" t="inlineStr">
        <is>
          <t>VÄSTERVIK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55382-2022</t>
        </is>
      </c>
      <c r="B652" s="1" t="n">
        <v>44887</v>
      </c>
      <c r="C652" s="1" t="n">
        <v>45175</v>
      </c>
      <c r="D652" t="inlineStr">
        <is>
          <t>KALMAR LÄN</t>
        </is>
      </c>
      <c r="E652" t="inlineStr">
        <is>
          <t>VÄSTERVIK</t>
        </is>
      </c>
      <c r="G652" t="n">
        <v>3.2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55828-2022</t>
        </is>
      </c>
      <c r="B653" s="1" t="n">
        <v>44888</v>
      </c>
      <c r="C653" s="1" t="n">
        <v>45175</v>
      </c>
      <c r="D653" t="inlineStr">
        <is>
          <t>KALMAR LÄN</t>
        </is>
      </c>
      <c r="E653" t="inlineStr">
        <is>
          <t>VÄSTERVIK</t>
        </is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56363-2022</t>
        </is>
      </c>
      <c r="B654" s="1" t="n">
        <v>44890</v>
      </c>
      <c r="C654" s="1" t="n">
        <v>45175</v>
      </c>
      <c r="D654" t="inlineStr">
        <is>
          <t>KALMAR LÄN</t>
        </is>
      </c>
      <c r="E654" t="inlineStr">
        <is>
          <t>VÄSTERVIK</t>
        </is>
      </c>
      <c r="G654" t="n">
        <v>2.7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58927-2022</t>
        </is>
      </c>
      <c r="B655" s="1" t="n">
        <v>44896</v>
      </c>
      <c r="C655" s="1" t="n">
        <v>45175</v>
      </c>
      <c r="D655" t="inlineStr">
        <is>
          <t>KALMAR LÄN</t>
        </is>
      </c>
      <c r="E655" t="inlineStr">
        <is>
          <t>VÄSTERVIK</t>
        </is>
      </c>
      <c r="G655" t="n">
        <v>2.5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58209-2022</t>
        </is>
      </c>
      <c r="B656" s="1" t="n">
        <v>44901</v>
      </c>
      <c r="C656" s="1" t="n">
        <v>45175</v>
      </c>
      <c r="D656" t="inlineStr">
        <is>
          <t>KALMAR LÄN</t>
        </is>
      </c>
      <c r="E656" t="inlineStr">
        <is>
          <t>VÄSTERVIK</t>
        </is>
      </c>
      <c r="G656" t="n">
        <v>1.5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58214-2022</t>
        </is>
      </c>
      <c r="B657" s="1" t="n">
        <v>44901</v>
      </c>
      <c r="C657" s="1" t="n">
        <v>45175</v>
      </c>
      <c r="D657" t="inlineStr">
        <is>
          <t>KALMAR LÄN</t>
        </is>
      </c>
      <c r="E657" t="inlineStr">
        <is>
          <t>VÄSTERVIK</t>
        </is>
      </c>
      <c r="G657" t="n">
        <v>1.2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59202-2022</t>
        </is>
      </c>
      <c r="B658" s="1" t="n">
        <v>44904</v>
      </c>
      <c r="C658" s="1" t="n">
        <v>45175</v>
      </c>
      <c r="D658" t="inlineStr">
        <is>
          <t>KALMAR LÄN</t>
        </is>
      </c>
      <c r="E658" t="inlineStr">
        <is>
          <t>VÄSTERVIK</t>
        </is>
      </c>
      <c r="G658" t="n">
        <v>1.5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59227-2022</t>
        </is>
      </c>
      <c r="B659" s="1" t="n">
        <v>44904</v>
      </c>
      <c r="C659" s="1" t="n">
        <v>45175</v>
      </c>
      <c r="D659" t="inlineStr">
        <is>
          <t>KALMAR LÄN</t>
        </is>
      </c>
      <c r="E659" t="inlineStr">
        <is>
          <t>VÄSTERVIK</t>
        </is>
      </c>
      <c r="G659" t="n">
        <v>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59498-2022</t>
        </is>
      </c>
      <c r="B660" s="1" t="n">
        <v>44907</v>
      </c>
      <c r="C660" s="1" t="n">
        <v>45175</v>
      </c>
      <c r="D660" t="inlineStr">
        <is>
          <t>KALMAR LÄN</t>
        </is>
      </c>
      <c r="E660" t="inlineStr">
        <is>
          <t>VÄSTERVIK</t>
        </is>
      </c>
      <c r="G660" t="n">
        <v>4.2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59675-2022</t>
        </is>
      </c>
      <c r="B661" s="1" t="n">
        <v>44908</v>
      </c>
      <c r="C661" s="1" t="n">
        <v>45175</v>
      </c>
      <c r="D661" t="inlineStr">
        <is>
          <t>KALMAR LÄN</t>
        </is>
      </c>
      <c r="E661" t="inlineStr">
        <is>
          <t>VÄSTERVIK</t>
        </is>
      </c>
      <c r="G661" t="n">
        <v>0.7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59871-2022</t>
        </is>
      </c>
      <c r="B662" s="1" t="n">
        <v>44908</v>
      </c>
      <c r="C662" s="1" t="n">
        <v>45175</v>
      </c>
      <c r="D662" t="inlineStr">
        <is>
          <t>KALMAR LÄN</t>
        </is>
      </c>
      <c r="E662" t="inlineStr">
        <is>
          <t>VÄSTERVIK</t>
        </is>
      </c>
      <c r="F662" t="inlineStr">
        <is>
          <t>Övriga Aktiebolag</t>
        </is>
      </c>
      <c r="G662" t="n">
        <v>0.4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61529-2022</t>
        </is>
      </c>
      <c r="B663" s="1" t="n">
        <v>44910</v>
      </c>
      <c r="C663" s="1" t="n">
        <v>45175</v>
      </c>
      <c r="D663" t="inlineStr">
        <is>
          <t>KALMAR LÄN</t>
        </is>
      </c>
      <c r="E663" t="inlineStr">
        <is>
          <t>VÄSTERVIK</t>
        </is>
      </c>
      <c r="G663" t="n">
        <v>6.5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60713-2022</t>
        </is>
      </c>
      <c r="B664" s="1" t="n">
        <v>44912</v>
      </c>
      <c r="C664" s="1" t="n">
        <v>45175</v>
      </c>
      <c r="D664" t="inlineStr">
        <is>
          <t>KALMAR LÄN</t>
        </is>
      </c>
      <c r="E664" t="inlineStr">
        <is>
          <t>VÄSTERVIK</t>
        </is>
      </c>
      <c r="F664" t="inlineStr">
        <is>
          <t>Övriga Aktiebolag</t>
        </is>
      </c>
      <c r="G664" t="n">
        <v>2.6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60710-2022</t>
        </is>
      </c>
      <c r="B665" s="1" t="n">
        <v>44912</v>
      </c>
      <c r="C665" s="1" t="n">
        <v>45175</v>
      </c>
      <c r="D665" t="inlineStr">
        <is>
          <t>KALMAR LÄN</t>
        </is>
      </c>
      <c r="E665" t="inlineStr">
        <is>
          <t>VÄSTERVIK</t>
        </is>
      </c>
      <c r="F665" t="inlineStr">
        <is>
          <t>Övriga Aktiebolag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60711-2022</t>
        </is>
      </c>
      <c r="B666" s="1" t="n">
        <v>44912</v>
      </c>
      <c r="C666" s="1" t="n">
        <v>45175</v>
      </c>
      <c r="D666" t="inlineStr">
        <is>
          <t>KALMAR LÄN</t>
        </is>
      </c>
      <c r="E666" t="inlineStr">
        <is>
          <t>VÄSTERVIK</t>
        </is>
      </c>
      <c r="F666" t="inlineStr">
        <is>
          <t>Övriga Aktiebolag</t>
        </is>
      </c>
      <c r="G666" t="n">
        <v>0.9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61581-2022</t>
        </is>
      </c>
      <c r="B667" s="1" t="n">
        <v>44916</v>
      </c>
      <c r="C667" s="1" t="n">
        <v>45175</v>
      </c>
      <c r="D667" t="inlineStr">
        <is>
          <t>KALMAR LÄN</t>
        </is>
      </c>
      <c r="E667" t="inlineStr">
        <is>
          <t>VÄSTERVIK</t>
        </is>
      </c>
      <c r="G667" t="n">
        <v>1.9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62306-2022</t>
        </is>
      </c>
      <c r="B668" s="1" t="n">
        <v>44923</v>
      </c>
      <c r="C668" s="1" t="n">
        <v>45175</v>
      </c>
      <c r="D668" t="inlineStr">
        <is>
          <t>KALMAR LÄN</t>
        </is>
      </c>
      <c r="E668" t="inlineStr">
        <is>
          <t>VÄSTERVIK</t>
        </is>
      </c>
      <c r="G668" t="n">
        <v>1.5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62422-2022</t>
        </is>
      </c>
      <c r="B669" s="1" t="n">
        <v>44924</v>
      </c>
      <c r="C669" s="1" t="n">
        <v>45175</v>
      </c>
      <c r="D669" t="inlineStr">
        <is>
          <t>KALMAR LÄN</t>
        </is>
      </c>
      <c r="E669" t="inlineStr">
        <is>
          <t>VÄSTERVIK</t>
        </is>
      </c>
      <c r="G669" t="n">
        <v>4.9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351-2023</t>
        </is>
      </c>
      <c r="B670" s="1" t="n">
        <v>44929</v>
      </c>
      <c r="C670" s="1" t="n">
        <v>45175</v>
      </c>
      <c r="D670" t="inlineStr">
        <is>
          <t>KALMAR LÄN</t>
        </is>
      </c>
      <c r="E670" t="inlineStr">
        <is>
          <t>VÄSTERVIK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562-2023</t>
        </is>
      </c>
      <c r="B671" s="1" t="n">
        <v>44930</v>
      </c>
      <c r="C671" s="1" t="n">
        <v>45175</v>
      </c>
      <c r="D671" t="inlineStr">
        <is>
          <t>KALMAR LÄN</t>
        </is>
      </c>
      <c r="E671" t="inlineStr">
        <is>
          <t>VÄSTERVIK</t>
        </is>
      </c>
      <c r="G671" t="n">
        <v>0.4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740-2023</t>
        </is>
      </c>
      <c r="B672" s="1" t="n">
        <v>44931</v>
      </c>
      <c r="C672" s="1" t="n">
        <v>45175</v>
      </c>
      <c r="D672" t="inlineStr">
        <is>
          <t>KALMAR LÄN</t>
        </is>
      </c>
      <c r="E672" t="inlineStr">
        <is>
          <t>VÄSTERVIK</t>
        </is>
      </c>
      <c r="G672" t="n">
        <v>9.6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808-2023</t>
        </is>
      </c>
      <c r="B673" s="1" t="n">
        <v>44931</v>
      </c>
      <c r="C673" s="1" t="n">
        <v>45175</v>
      </c>
      <c r="D673" t="inlineStr">
        <is>
          <t>KALMAR LÄN</t>
        </is>
      </c>
      <c r="E673" t="inlineStr">
        <is>
          <t>VÄSTERVIK</t>
        </is>
      </c>
      <c r="F673" t="inlineStr">
        <is>
          <t>Holmen skog AB</t>
        </is>
      </c>
      <c r="G673" t="n">
        <v>0.3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765-2023</t>
        </is>
      </c>
      <c r="B674" s="1" t="n">
        <v>44931</v>
      </c>
      <c r="C674" s="1" t="n">
        <v>45175</v>
      </c>
      <c r="D674" t="inlineStr">
        <is>
          <t>KALMAR LÄN</t>
        </is>
      </c>
      <c r="E674" t="inlineStr">
        <is>
          <t>VÄSTERVIK</t>
        </is>
      </c>
      <c r="F674" t="inlineStr">
        <is>
          <t>Holmen skog AB</t>
        </is>
      </c>
      <c r="G674" t="n">
        <v>3.7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843-2023</t>
        </is>
      </c>
      <c r="B675" s="1" t="n">
        <v>44931</v>
      </c>
      <c r="C675" s="1" t="n">
        <v>45175</v>
      </c>
      <c r="D675" t="inlineStr">
        <is>
          <t>KALMAR LÄN</t>
        </is>
      </c>
      <c r="E675" t="inlineStr">
        <is>
          <t>VÄSTERVIK</t>
        </is>
      </c>
      <c r="F675" t="inlineStr">
        <is>
          <t>Holmen skog AB</t>
        </is>
      </c>
      <c r="G675" t="n">
        <v>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1699-2023</t>
        </is>
      </c>
      <c r="B676" s="1" t="n">
        <v>44935</v>
      </c>
      <c r="C676" s="1" t="n">
        <v>45175</v>
      </c>
      <c r="D676" t="inlineStr">
        <is>
          <t>KALMAR LÄN</t>
        </is>
      </c>
      <c r="E676" t="inlineStr">
        <is>
          <t>VÄSTERVIK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1050-2023</t>
        </is>
      </c>
      <c r="B677" s="1" t="n">
        <v>44935</v>
      </c>
      <c r="C677" s="1" t="n">
        <v>45175</v>
      </c>
      <c r="D677" t="inlineStr">
        <is>
          <t>KALMAR LÄN</t>
        </is>
      </c>
      <c r="E677" t="inlineStr">
        <is>
          <t>VÄSTERVIK</t>
        </is>
      </c>
      <c r="F677" t="inlineStr">
        <is>
          <t>Sveaskog</t>
        </is>
      </c>
      <c r="G677" t="n">
        <v>4.2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1568-2023</t>
        </is>
      </c>
      <c r="B678" s="1" t="n">
        <v>44937</v>
      </c>
      <c r="C678" s="1" t="n">
        <v>45175</v>
      </c>
      <c r="D678" t="inlineStr">
        <is>
          <t>KALMAR LÄN</t>
        </is>
      </c>
      <c r="E678" t="inlineStr">
        <is>
          <t>VÄSTERVIK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1798-2023</t>
        </is>
      </c>
      <c r="B679" s="1" t="n">
        <v>44938</v>
      </c>
      <c r="C679" s="1" t="n">
        <v>45175</v>
      </c>
      <c r="D679" t="inlineStr">
        <is>
          <t>KALMAR LÄN</t>
        </is>
      </c>
      <c r="E679" t="inlineStr">
        <is>
          <t>VÄSTERVIK</t>
        </is>
      </c>
      <c r="G679" t="n">
        <v>3.9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2098-2023</t>
        </is>
      </c>
      <c r="B680" s="1" t="n">
        <v>44939</v>
      </c>
      <c r="C680" s="1" t="n">
        <v>45175</v>
      </c>
      <c r="D680" t="inlineStr">
        <is>
          <t>KALMAR LÄN</t>
        </is>
      </c>
      <c r="E680" t="inlineStr">
        <is>
          <t>VÄSTERVIK</t>
        </is>
      </c>
      <c r="G680" t="n">
        <v>1.9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2314-2023</t>
        </is>
      </c>
      <c r="B681" s="1" t="n">
        <v>44942</v>
      </c>
      <c r="C681" s="1" t="n">
        <v>45175</v>
      </c>
      <c r="D681" t="inlineStr">
        <is>
          <t>KALMAR LÄN</t>
        </is>
      </c>
      <c r="E681" t="inlineStr">
        <is>
          <t>VÄSTERVIK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2731-2023</t>
        </is>
      </c>
      <c r="B682" s="1" t="n">
        <v>44944</v>
      </c>
      <c r="C682" s="1" t="n">
        <v>45175</v>
      </c>
      <c r="D682" t="inlineStr">
        <is>
          <t>KALMAR LÄN</t>
        </is>
      </c>
      <c r="E682" t="inlineStr">
        <is>
          <t>VÄSTERVIK</t>
        </is>
      </c>
      <c r="G682" t="n">
        <v>1.9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2746-2023</t>
        </is>
      </c>
      <c r="B683" s="1" t="n">
        <v>44944</v>
      </c>
      <c r="C683" s="1" t="n">
        <v>45175</v>
      </c>
      <c r="D683" t="inlineStr">
        <is>
          <t>KALMAR LÄN</t>
        </is>
      </c>
      <c r="E683" t="inlineStr">
        <is>
          <t>VÄSTERVIK</t>
        </is>
      </c>
      <c r="G683" t="n">
        <v>5.5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2738-2023</t>
        </is>
      </c>
      <c r="B684" s="1" t="n">
        <v>44944</v>
      </c>
      <c r="C684" s="1" t="n">
        <v>45175</v>
      </c>
      <c r="D684" t="inlineStr">
        <is>
          <t>KALMAR LÄN</t>
        </is>
      </c>
      <c r="E684" t="inlineStr">
        <is>
          <t>VÄSTERVIK</t>
        </is>
      </c>
      <c r="G684" t="n">
        <v>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2926-2023</t>
        </is>
      </c>
      <c r="B685" s="1" t="n">
        <v>44945</v>
      </c>
      <c r="C685" s="1" t="n">
        <v>45175</v>
      </c>
      <c r="D685" t="inlineStr">
        <is>
          <t>KALMAR LÄN</t>
        </is>
      </c>
      <c r="E685" t="inlineStr">
        <is>
          <t>VÄSTERVIK</t>
        </is>
      </c>
      <c r="G685" t="n">
        <v>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3187-2023</t>
        </is>
      </c>
      <c r="B686" s="1" t="n">
        <v>44946</v>
      </c>
      <c r="C686" s="1" t="n">
        <v>45175</v>
      </c>
      <c r="D686" t="inlineStr">
        <is>
          <t>KALMAR LÄN</t>
        </is>
      </c>
      <c r="E686" t="inlineStr">
        <is>
          <t>VÄSTERVIK</t>
        </is>
      </c>
      <c r="G686" t="n">
        <v>1.6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4583-2023</t>
        </is>
      </c>
      <c r="B687" s="1" t="n">
        <v>44956</v>
      </c>
      <c r="C687" s="1" t="n">
        <v>45175</v>
      </c>
      <c r="D687" t="inlineStr">
        <is>
          <t>KALMAR LÄN</t>
        </is>
      </c>
      <c r="E687" t="inlineStr">
        <is>
          <t>VÄSTERVIK</t>
        </is>
      </c>
      <c r="G687" t="n">
        <v>2.2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4624-2023</t>
        </is>
      </c>
      <c r="B688" s="1" t="n">
        <v>44956</v>
      </c>
      <c r="C688" s="1" t="n">
        <v>45175</v>
      </c>
      <c r="D688" t="inlineStr">
        <is>
          <t>KALMAR LÄN</t>
        </is>
      </c>
      <c r="E688" t="inlineStr">
        <is>
          <t>VÄSTERVIK</t>
        </is>
      </c>
      <c r="F688" t="inlineStr">
        <is>
          <t>Holmen skog AB</t>
        </is>
      </c>
      <c r="G688" t="n">
        <v>7.1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4508-2023</t>
        </is>
      </c>
      <c r="B689" s="1" t="n">
        <v>44956</v>
      </c>
      <c r="C689" s="1" t="n">
        <v>45175</v>
      </c>
      <c r="D689" t="inlineStr">
        <is>
          <t>KALMAR LÄN</t>
        </is>
      </c>
      <c r="E689" t="inlineStr">
        <is>
          <t>VÄSTERVIK</t>
        </is>
      </c>
      <c r="G689" t="n">
        <v>0.5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4951-2023</t>
        </is>
      </c>
      <c r="B690" s="1" t="n">
        <v>44958</v>
      </c>
      <c r="C690" s="1" t="n">
        <v>45175</v>
      </c>
      <c r="D690" t="inlineStr">
        <is>
          <t>KALMAR LÄN</t>
        </is>
      </c>
      <c r="E690" t="inlineStr">
        <is>
          <t>VÄSTERVIK</t>
        </is>
      </c>
      <c r="G690" t="n">
        <v>1.3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6346-2023</t>
        </is>
      </c>
      <c r="B691" s="1" t="n">
        <v>44960</v>
      </c>
      <c r="C691" s="1" t="n">
        <v>45175</v>
      </c>
      <c r="D691" t="inlineStr">
        <is>
          <t>KALMAR LÄN</t>
        </is>
      </c>
      <c r="E691" t="inlineStr">
        <is>
          <t>VÄSTERVIK</t>
        </is>
      </c>
      <c r="G691" t="n">
        <v>4.5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5774-2023</t>
        </is>
      </c>
      <c r="B692" s="1" t="n">
        <v>44963</v>
      </c>
      <c r="C692" s="1" t="n">
        <v>45175</v>
      </c>
      <c r="D692" t="inlineStr">
        <is>
          <t>KALMAR LÄN</t>
        </is>
      </c>
      <c r="E692" t="inlineStr">
        <is>
          <t>VÄSTERVIK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5775-2023</t>
        </is>
      </c>
      <c r="B693" s="1" t="n">
        <v>44963</v>
      </c>
      <c r="C693" s="1" t="n">
        <v>45175</v>
      </c>
      <c r="D693" t="inlineStr">
        <is>
          <t>KALMAR LÄN</t>
        </is>
      </c>
      <c r="E693" t="inlineStr">
        <is>
          <t>VÄSTERVIK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6042-2023</t>
        </is>
      </c>
      <c r="B694" s="1" t="n">
        <v>44964</v>
      </c>
      <c r="C694" s="1" t="n">
        <v>45175</v>
      </c>
      <c r="D694" t="inlineStr">
        <is>
          <t>KALMAR LÄN</t>
        </is>
      </c>
      <c r="E694" t="inlineStr">
        <is>
          <t>VÄSTERVIK</t>
        </is>
      </c>
      <c r="G694" t="n">
        <v>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6319-2023</t>
        </is>
      </c>
      <c r="B695" s="1" t="n">
        <v>44965</v>
      </c>
      <c r="C695" s="1" t="n">
        <v>45175</v>
      </c>
      <c r="D695" t="inlineStr">
        <is>
          <t>KALMAR LÄN</t>
        </is>
      </c>
      <c r="E695" t="inlineStr">
        <is>
          <t>VÄSTERVIK</t>
        </is>
      </c>
      <c r="G695" t="n">
        <v>1.6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7255-2023</t>
        </is>
      </c>
      <c r="B696" s="1" t="n">
        <v>44970</v>
      </c>
      <c r="C696" s="1" t="n">
        <v>45175</v>
      </c>
      <c r="D696" t="inlineStr">
        <is>
          <t>KALMAR LÄN</t>
        </is>
      </c>
      <c r="E696" t="inlineStr">
        <is>
          <t>VÄSTERVIK</t>
        </is>
      </c>
      <c r="F696" t="inlineStr">
        <is>
          <t>Naturvårdsverket</t>
        </is>
      </c>
      <c r="G696" t="n">
        <v>0.6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  <c r="U696">
        <f>HYPERLINK("https://klasma.github.io/Logging_VASTERVIK/knärot/A 7255-2023.png")</f>
        <v/>
      </c>
      <c r="V696">
        <f>HYPERLINK("https://klasma.github.io/Logging_VASTERVIK/klagomål/A 7255-2023.docx")</f>
        <v/>
      </c>
      <c r="W696">
        <f>HYPERLINK("https://klasma.github.io/Logging_VASTERVIK/klagomålsmail/A 7255-2023.docx")</f>
        <v/>
      </c>
      <c r="X696">
        <f>HYPERLINK("https://klasma.github.io/Logging_VASTERVIK/tillsyn/A 7255-2023.docx")</f>
        <v/>
      </c>
      <c r="Y696">
        <f>HYPERLINK("https://klasma.github.io/Logging_VASTERVIK/tillsynsmail/A 7255-2023.docx")</f>
        <v/>
      </c>
    </row>
    <row r="697" ht="15" customHeight="1">
      <c r="A697" t="inlineStr">
        <is>
          <t>A 7360-2023</t>
        </is>
      </c>
      <c r="B697" s="1" t="n">
        <v>44971</v>
      </c>
      <c r="C697" s="1" t="n">
        <v>45175</v>
      </c>
      <c r="D697" t="inlineStr">
        <is>
          <t>KALMAR LÄN</t>
        </is>
      </c>
      <c r="E697" t="inlineStr">
        <is>
          <t>VÄSTERVIK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7779-2023</t>
        </is>
      </c>
      <c r="B698" s="1" t="n">
        <v>44973</v>
      </c>
      <c r="C698" s="1" t="n">
        <v>45175</v>
      </c>
      <c r="D698" t="inlineStr">
        <is>
          <t>KALMAR LÄN</t>
        </is>
      </c>
      <c r="E698" t="inlineStr">
        <is>
          <t>VÄSTERVIK</t>
        </is>
      </c>
      <c r="G698" t="n">
        <v>1.8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7886-2023</t>
        </is>
      </c>
      <c r="B699" s="1" t="n">
        <v>44973</v>
      </c>
      <c r="C699" s="1" t="n">
        <v>45175</v>
      </c>
      <c r="D699" t="inlineStr">
        <is>
          <t>KALMAR LÄN</t>
        </is>
      </c>
      <c r="E699" t="inlineStr">
        <is>
          <t>VÄSTERVIK</t>
        </is>
      </c>
      <c r="G699" t="n">
        <v>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8283-2023</t>
        </is>
      </c>
      <c r="B700" s="1" t="n">
        <v>44974</v>
      </c>
      <c r="C700" s="1" t="n">
        <v>45175</v>
      </c>
      <c r="D700" t="inlineStr">
        <is>
          <t>KALMAR LÄN</t>
        </is>
      </c>
      <c r="E700" t="inlineStr">
        <is>
          <t>VÄSTERVIK</t>
        </is>
      </c>
      <c r="F700" t="inlineStr">
        <is>
          <t>Kyrkan</t>
        </is>
      </c>
      <c r="G700" t="n">
        <v>14.5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8594-2023</t>
        </is>
      </c>
      <c r="B701" s="1" t="n">
        <v>44977</v>
      </c>
      <c r="C701" s="1" t="n">
        <v>45175</v>
      </c>
      <c r="D701" t="inlineStr">
        <is>
          <t>KALMAR LÄN</t>
        </is>
      </c>
      <c r="E701" t="inlineStr">
        <is>
          <t>VÄSTERVIK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8456-2023</t>
        </is>
      </c>
      <c r="B702" s="1" t="n">
        <v>44977</v>
      </c>
      <c r="C702" s="1" t="n">
        <v>45175</v>
      </c>
      <c r="D702" t="inlineStr">
        <is>
          <t>KALMAR LÄN</t>
        </is>
      </c>
      <c r="E702" t="inlineStr">
        <is>
          <t>VÄSTERVIK</t>
        </is>
      </c>
      <c r="G702" t="n">
        <v>1.4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8561-2023</t>
        </is>
      </c>
      <c r="B703" s="1" t="n">
        <v>44977</v>
      </c>
      <c r="C703" s="1" t="n">
        <v>45175</v>
      </c>
      <c r="D703" t="inlineStr">
        <is>
          <t>KALMAR LÄN</t>
        </is>
      </c>
      <c r="E703" t="inlineStr">
        <is>
          <t>VÄSTERVIK</t>
        </is>
      </c>
      <c r="G703" t="n">
        <v>2.3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8593-2023</t>
        </is>
      </c>
      <c r="B704" s="1" t="n">
        <v>44977</v>
      </c>
      <c r="C704" s="1" t="n">
        <v>45175</v>
      </c>
      <c r="D704" t="inlineStr">
        <is>
          <t>KALMAR LÄN</t>
        </is>
      </c>
      <c r="E704" t="inlineStr">
        <is>
          <t>VÄSTERVIK</t>
        </is>
      </c>
      <c r="G704" t="n">
        <v>1.2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8597-2023</t>
        </is>
      </c>
      <c r="B705" s="1" t="n">
        <v>44977</v>
      </c>
      <c r="C705" s="1" t="n">
        <v>45175</v>
      </c>
      <c r="D705" t="inlineStr">
        <is>
          <t>KALMAR LÄN</t>
        </is>
      </c>
      <c r="E705" t="inlineStr">
        <is>
          <t>VÄSTERVIK</t>
        </is>
      </c>
      <c r="G705" t="n">
        <v>0.2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9110-2023</t>
        </is>
      </c>
      <c r="B706" s="1" t="n">
        <v>44979</v>
      </c>
      <c r="C706" s="1" t="n">
        <v>45175</v>
      </c>
      <c r="D706" t="inlineStr">
        <is>
          <t>KALMAR LÄN</t>
        </is>
      </c>
      <c r="E706" t="inlineStr">
        <is>
          <t>VÄSTERVIK</t>
        </is>
      </c>
      <c r="G706" t="n">
        <v>1.1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9042-2023</t>
        </is>
      </c>
      <c r="B707" s="1" t="n">
        <v>44979</v>
      </c>
      <c r="C707" s="1" t="n">
        <v>45175</v>
      </c>
      <c r="D707" t="inlineStr">
        <is>
          <t>KALMAR LÄN</t>
        </is>
      </c>
      <c r="E707" t="inlineStr">
        <is>
          <t>VÄSTERVIK</t>
        </is>
      </c>
      <c r="G707" t="n">
        <v>1.7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9112-2023</t>
        </is>
      </c>
      <c r="B708" s="1" t="n">
        <v>44979</v>
      </c>
      <c r="C708" s="1" t="n">
        <v>45175</v>
      </c>
      <c r="D708" t="inlineStr">
        <is>
          <t>KALMAR LÄN</t>
        </is>
      </c>
      <c r="E708" t="inlineStr">
        <is>
          <t>VÄSTERVIK</t>
        </is>
      </c>
      <c r="G708" t="n">
        <v>1.8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9223-2023</t>
        </is>
      </c>
      <c r="B709" s="1" t="n">
        <v>44980</v>
      </c>
      <c r="C709" s="1" t="n">
        <v>45175</v>
      </c>
      <c r="D709" t="inlineStr">
        <is>
          <t>KALMAR LÄN</t>
        </is>
      </c>
      <c r="E709" t="inlineStr">
        <is>
          <t>VÄSTERVIK</t>
        </is>
      </c>
      <c r="G709" t="n">
        <v>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9631-2023</t>
        </is>
      </c>
      <c r="B710" s="1" t="n">
        <v>44984</v>
      </c>
      <c r="C710" s="1" t="n">
        <v>45175</v>
      </c>
      <c r="D710" t="inlineStr">
        <is>
          <t>KALMAR LÄN</t>
        </is>
      </c>
      <c r="E710" t="inlineStr">
        <is>
          <t>VÄSTERVIK</t>
        </is>
      </c>
      <c r="G710" t="n">
        <v>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9770-2023</t>
        </is>
      </c>
      <c r="B711" s="1" t="n">
        <v>44984</v>
      </c>
      <c r="C711" s="1" t="n">
        <v>45175</v>
      </c>
      <c r="D711" t="inlineStr">
        <is>
          <t>KALMAR LÄN</t>
        </is>
      </c>
      <c r="E711" t="inlineStr">
        <is>
          <t>VÄSTERVIK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10419-2023</t>
        </is>
      </c>
      <c r="B712" s="1" t="n">
        <v>44987</v>
      </c>
      <c r="C712" s="1" t="n">
        <v>45175</v>
      </c>
      <c r="D712" t="inlineStr">
        <is>
          <t>KALMAR LÄN</t>
        </is>
      </c>
      <c r="E712" t="inlineStr">
        <is>
          <t>VÄSTERVIK</t>
        </is>
      </c>
      <c r="G712" t="n">
        <v>0.4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10803-2023</t>
        </is>
      </c>
      <c r="B713" s="1" t="n">
        <v>44989</v>
      </c>
      <c r="C713" s="1" t="n">
        <v>45175</v>
      </c>
      <c r="D713" t="inlineStr">
        <is>
          <t>KALMAR LÄN</t>
        </is>
      </c>
      <c r="E713" t="inlineStr">
        <is>
          <t>VÄSTERVIK</t>
        </is>
      </c>
      <c r="G713" t="n">
        <v>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10804-2023</t>
        </is>
      </c>
      <c r="B714" s="1" t="n">
        <v>44989</v>
      </c>
      <c r="C714" s="1" t="n">
        <v>45175</v>
      </c>
      <c r="D714" t="inlineStr">
        <is>
          <t>KALMAR LÄN</t>
        </is>
      </c>
      <c r="E714" t="inlineStr">
        <is>
          <t>VÄSTERVIK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11583-2023</t>
        </is>
      </c>
      <c r="B715" s="1" t="n">
        <v>44994</v>
      </c>
      <c r="C715" s="1" t="n">
        <v>45175</v>
      </c>
      <c r="D715" t="inlineStr">
        <is>
          <t>KALMAR LÄN</t>
        </is>
      </c>
      <c r="E715" t="inlineStr">
        <is>
          <t>VÄSTERVIK</t>
        </is>
      </c>
      <c r="G715" t="n">
        <v>1.6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11727-2023</t>
        </is>
      </c>
      <c r="B716" s="1" t="n">
        <v>44994</v>
      </c>
      <c r="C716" s="1" t="n">
        <v>45175</v>
      </c>
      <c r="D716" t="inlineStr">
        <is>
          <t>KALMAR LÄN</t>
        </is>
      </c>
      <c r="E716" t="inlineStr">
        <is>
          <t>VÄSTERVIK</t>
        </is>
      </c>
      <c r="F716" t="inlineStr">
        <is>
          <t>Sveaskog</t>
        </is>
      </c>
      <c r="G716" t="n">
        <v>3.6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11730-2023</t>
        </is>
      </c>
      <c r="B717" s="1" t="n">
        <v>44994</v>
      </c>
      <c r="C717" s="1" t="n">
        <v>45175</v>
      </c>
      <c r="D717" t="inlineStr">
        <is>
          <t>KALMAR LÄN</t>
        </is>
      </c>
      <c r="E717" t="inlineStr">
        <is>
          <t>VÄSTERVIK</t>
        </is>
      </c>
      <c r="F717" t="inlineStr">
        <is>
          <t>Sveaskog</t>
        </is>
      </c>
      <c r="G717" t="n">
        <v>1.2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11804-2023</t>
        </is>
      </c>
      <c r="B718" s="1" t="n">
        <v>44994</v>
      </c>
      <c r="C718" s="1" t="n">
        <v>45175</v>
      </c>
      <c r="D718" t="inlineStr">
        <is>
          <t>KALMAR LÄN</t>
        </is>
      </c>
      <c r="E718" t="inlineStr">
        <is>
          <t>VÄSTERVIK</t>
        </is>
      </c>
      <c r="F718" t="inlineStr">
        <is>
          <t>Sveaskog</t>
        </is>
      </c>
      <c r="G718" t="n">
        <v>3.1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13275-2023</t>
        </is>
      </c>
      <c r="B719" s="1" t="n">
        <v>45003</v>
      </c>
      <c r="C719" s="1" t="n">
        <v>45175</v>
      </c>
      <c r="D719" t="inlineStr">
        <is>
          <t>KALMAR LÄN</t>
        </is>
      </c>
      <c r="E719" t="inlineStr">
        <is>
          <t>VÄSTERVIK</t>
        </is>
      </c>
      <c r="G719" t="n">
        <v>1.6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  <c r="U719">
        <f>HYPERLINK("https://klasma.github.io/Logging_VASTERVIK/knärot/A 13275-2023.png")</f>
        <v/>
      </c>
      <c r="V719">
        <f>HYPERLINK("https://klasma.github.io/Logging_VASTERVIK/klagomål/A 13275-2023.docx")</f>
        <v/>
      </c>
      <c r="W719">
        <f>HYPERLINK("https://klasma.github.io/Logging_VASTERVIK/klagomålsmail/A 13275-2023.docx")</f>
        <v/>
      </c>
      <c r="X719">
        <f>HYPERLINK("https://klasma.github.io/Logging_VASTERVIK/tillsyn/A 13275-2023.docx")</f>
        <v/>
      </c>
      <c r="Y719">
        <f>HYPERLINK("https://klasma.github.io/Logging_VASTERVIK/tillsynsmail/A 13275-2023.docx")</f>
        <v/>
      </c>
    </row>
    <row r="720" ht="15" customHeight="1">
      <c r="A720" t="inlineStr">
        <is>
          <t>A 13761-2023</t>
        </is>
      </c>
      <c r="B720" s="1" t="n">
        <v>45007</v>
      </c>
      <c r="C720" s="1" t="n">
        <v>45175</v>
      </c>
      <c r="D720" t="inlineStr">
        <is>
          <t>KALMAR LÄN</t>
        </is>
      </c>
      <c r="E720" t="inlineStr">
        <is>
          <t>VÄSTERVIK</t>
        </is>
      </c>
      <c r="G720" t="n">
        <v>2.1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13770-2023</t>
        </is>
      </c>
      <c r="B721" s="1" t="n">
        <v>45007</v>
      </c>
      <c r="C721" s="1" t="n">
        <v>45175</v>
      </c>
      <c r="D721" t="inlineStr">
        <is>
          <t>KALMAR LÄN</t>
        </is>
      </c>
      <c r="E721" t="inlineStr">
        <is>
          <t>VÄSTERVIK</t>
        </is>
      </c>
      <c r="G721" t="n">
        <v>2.7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14385-2023</t>
        </is>
      </c>
      <c r="B722" s="1" t="n">
        <v>45012</v>
      </c>
      <c r="C722" s="1" t="n">
        <v>45175</v>
      </c>
      <c r="D722" t="inlineStr">
        <is>
          <t>KALMAR LÄN</t>
        </is>
      </c>
      <c r="E722" t="inlineStr">
        <is>
          <t>VÄSTERVIK</t>
        </is>
      </c>
      <c r="G722" t="n">
        <v>0.9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15103-2023</t>
        </is>
      </c>
      <c r="B723" s="1" t="n">
        <v>45016</v>
      </c>
      <c r="C723" s="1" t="n">
        <v>45175</v>
      </c>
      <c r="D723" t="inlineStr">
        <is>
          <t>KALMAR LÄN</t>
        </is>
      </c>
      <c r="E723" t="inlineStr">
        <is>
          <t>VÄSTERVIK</t>
        </is>
      </c>
      <c r="G723" t="n">
        <v>3.2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15097-2023</t>
        </is>
      </c>
      <c r="B724" s="1" t="n">
        <v>45016</v>
      </c>
      <c r="C724" s="1" t="n">
        <v>45175</v>
      </c>
      <c r="D724" t="inlineStr">
        <is>
          <t>KALMAR LÄN</t>
        </is>
      </c>
      <c r="E724" t="inlineStr">
        <is>
          <t>VÄSTERVIK</t>
        </is>
      </c>
      <c r="G724" t="n">
        <v>5.9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15270-2023</t>
        </is>
      </c>
      <c r="B725" s="1" t="n">
        <v>45019</v>
      </c>
      <c r="C725" s="1" t="n">
        <v>45175</v>
      </c>
      <c r="D725" t="inlineStr">
        <is>
          <t>KALMAR LÄN</t>
        </is>
      </c>
      <c r="E725" t="inlineStr">
        <is>
          <t>VÄSTERVIK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15438-2023</t>
        </is>
      </c>
      <c r="B726" s="1" t="n">
        <v>45020</v>
      </c>
      <c r="C726" s="1" t="n">
        <v>45175</v>
      </c>
      <c r="D726" t="inlineStr">
        <is>
          <t>KALMAR LÄN</t>
        </is>
      </c>
      <c r="E726" t="inlineStr">
        <is>
          <t>VÄSTERVIK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15765-2023</t>
        </is>
      </c>
      <c r="B727" s="1" t="n">
        <v>45021</v>
      </c>
      <c r="C727" s="1" t="n">
        <v>45175</v>
      </c>
      <c r="D727" t="inlineStr">
        <is>
          <t>KALMAR LÄN</t>
        </is>
      </c>
      <c r="E727" t="inlineStr">
        <is>
          <t>VÄSTERVIK</t>
        </is>
      </c>
      <c r="G727" t="n">
        <v>0.5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15896-2023</t>
        </is>
      </c>
      <c r="B728" s="1" t="n">
        <v>45022</v>
      </c>
      <c r="C728" s="1" t="n">
        <v>45175</v>
      </c>
      <c r="D728" t="inlineStr">
        <is>
          <t>KALMAR LÄN</t>
        </is>
      </c>
      <c r="E728" t="inlineStr">
        <is>
          <t>VÄSTERVIK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16507-2023</t>
        </is>
      </c>
      <c r="B729" s="1" t="n">
        <v>45029</v>
      </c>
      <c r="C729" s="1" t="n">
        <v>45175</v>
      </c>
      <c r="D729" t="inlineStr">
        <is>
          <t>KALMAR LÄN</t>
        </is>
      </c>
      <c r="E729" t="inlineStr">
        <is>
          <t>VÄSTERVIK</t>
        </is>
      </c>
      <c r="F729" t="inlineStr">
        <is>
          <t>Sveaskog</t>
        </is>
      </c>
      <c r="G729" t="n">
        <v>5.6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16485-2023</t>
        </is>
      </c>
      <c r="B730" s="1" t="n">
        <v>45029</v>
      </c>
      <c r="C730" s="1" t="n">
        <v>45175</v>
      </c>
      <c r="D730" t="inlineStr">
        <is>
          <t>KALMAR LÄN</t>
        </is>
      </c>
      <c r="E730" t="inlineStr">
        <is>
          <t>VÄSTERVIK</t>
        </is>
      </c>
      <c r="F730" t="inlineStr">
        <is>
          <t>Sveaskog</t>
        </is>
      </c>
      <c r="G730" t="n">
        <v>3.3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16617-2023</t>
        </is>
      </c>
      <c r="B731" s="1" t="n">
        <v>45030</v>
      </c>
      <c r="C731" s="1" t="n">
        <v>45175</v>
      </c>
      <c r="D731" t="inlineStr">
        <is>
          <t>KALMAR LÄN</t>
        </is>
      </c>
      <c r="E731" t="inlineStr">
        <is>
          <t>VÄSTERVIK</t>
        </is>
      </c>
      <c r="G731" t="n">
        <v>0.6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16819-2023</t>
        </is>
      </c>
      <c r="B732" s="1" t="n">
        <v>45033</v>
      </c>
      <c r="C732" s="1" t="n">
        <v>45175</v>
      </c>
      <c r="D732" t="inlineStr">
        <is>
          <t>KALMAR LÄN</t>
        </is>
      </c>
      <c r="E732" t="inlineStr">
        <is>
          <t>VÄSTERVIK</t>
        </is>
      </c>
      <c r="G732" t="n">
        <v>2.9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16834-2023</t>
        </is>
      </c>
      <c r="B733" s="1" t="n">
        <v>45033</v>
      </c>
      <c r="C733" s="1" t="n">
        <v>45175</v>
      </c>
      <c r="D733" t="inlineStr">
        <is>
          <t>KALMAR LÄN</t>
        </is>
      </c>
      <c r="E733" t="inlineStr">
        <is>
          <t>VÄSTERVIK</t>
        </is>
      </c>
      <c r="G733" t="n">
        <v>1.4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17314-2023</t>
        </is>
      </c>
      <c r="B734" s="1" t="n">
        <v>45035</v>
      </c>
      <c r="C734" s="1" t="n">
        <v>45175</v>
      </c>
      <c r="D734" t="inlineStr">
        <is>
          <t>KALMAR LÄN</t>
        </is>
      </c>
      <c r="E734" t="inlineStr">
        <is>
          <t>VÄSTERVIK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17306-2023</t>
        </is>
      </c>
      <c r="B735" s="1" t="n">
        <v>45035</v>
      </c>
      <c r="C735" s="1" t="n">
        <v>45175</v>
      </c>
      <c r="D735" t="inlineStr">
        <is>
          <t>KALMAR LÄN</t>
        </is>
      </c>
      <c r="E735" t="inlineStr">
        <is>
          <t>VÄSTERVIK</t>
        </is>
      </c>
      <c r="G735" t="n">
        <v>4.3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17317-2023</t>
        </is>
      </c>
      <c r="B736" s="1" t="n">
        <v>45035</v>
      </c>
      <c r="C736" s="1" t="n">
        <v>45175</v>
      </c>
      <c r="D736" t="inlineStr">
        <is>
          <t>KALMAR LÄN</t>
        </is>
      </c>
      <c r="E736" t="inlineStr">
        <is>
          <t>VÄSTERVIK</t>
        </is>
      </c>
      <c r="G736" t="n">
        <v>2.5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  <c r="U736">
        <f>HYPERLINK("https://klasma.github.io/Logging_VASTERVIK/knärot/A 17317-2023.png")</f>
        <v/>
      </c>
      <c r="V736">
        <f>HYPERLINK("https://klasma.github.io/Logging_VASTERVIK/klagomål/A 17317-2023.docx")</f>
        <v/>
      </c>
      <c r="W736">
        <f>HYPERLINK("https://klasma.github.io/Logging_VASTERVIK/klagomålsmail/A 17317-2023.docx")</f>
        <v/>
      </c>
      <c r="X736">
        <f>HYPERLINK("https://klasma.github.io/Logging_VASTERVIK/tillsyn/A 17317-2023.docx")</f>
        <v/>
      </c>
      <c r="Y736">
        <f>HYPERLINK("https://klasma.github.io/Logging_VASTERVIK/tillsynsmail/A 17317-2023.docx")</f>
        <v/>
      </c>
    </row>
    <row r="737" ht="15" customHeight="1">
      <c r="A737" t="inlineStr">
        <is>
          <t>A 17644-2023</t>
        </is>
      </c>
      <c r="B737" s="1" t="n">
        <v>45036</v>
      </c>
      <c r="C737" s="1" t="n">
        <v>45175</v>
      </c>
      <c r="D737" t="inlineStr">
        <is>
          <t>KALMAR LÄN</t>
        </is>
      </c>
      <c r="E737" t="inlineStr">
        <is>
          <t>VÄSTERVIK</t>
        </is>
      </c>
      <c r="G737" t="n">
        <v>0.9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17642-2023</t>
        </is>
      </c>
      <c r="B738" s="1" t="n">
        <v>45036</v>
      </c>
      <c r="C738" s="1" t="n">
        <v>45175</v>
      </c>
      <c r="D738" t="inlineStr">
        <is>
          <t>KALMAR LÄN</t>
        </is>
      </c>
      <c r="E738" t="inlineStr">
        <is>
          <t>VÄSTERVIK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17645-2023</t>
        </is>
      </c>
      <c r="B739" s="1" t="n">
        <v>45036</v>
      </c>
      <c r="C739" s="1" t="n">
        <v>45175</v>
      </c>
      <c r="D739" t="inlineStr">
        <is>
          <t>KALMAR LÄN</t>
        </is>
      </c>
      <c r="E739" t="inlineStr">
        <is>
          <t>VÄSTERVIK</t>
        </is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17643-2023</t>
        </is>
      </c>
      <c r="B740" s="1" t="n">
        <v>45036</v>
      </c>
      <c r="C740" s="1" t="n">
        <v>45175</v>
      </c>
      <c r="D740" t="inlineStr">
        <is>
          <t>KALMAR LÄN</t>
        </is>
      </c>
      <c r="E740" t="inlineStr">
        <is>
          <t>VÄSTERVIK</t>
        </is>
      </c>
      <c r="G740" t="n">
        <v>2.3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17648-2023</t>
        </is>
      </c>
      <c r="B741" s="1" t="n">
        <v>45036</v>
      </c>
      <c r="C741" s="1" t="n">
        <v>45175</v>
      </c>
      <c r="D741" t="inlineStr">
        <is>
          <t>KALMAR LÄN</t>
        </is>
      </c>
      <c r="E741" t="inlineStr">
        <is>
          <t>VÄSTERVIK</t>
        </is>
      </c>
      <c r="G741" t="n">
        <v>0.4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18051-2023</t>
        </is>
      </c>
      <c r="B742" s="1" t="n">
        <v>45040</v>
      </c>
      <c r="C742" s="1" t="n">
        <v>45175</v>
      </c>
      <c r="D742" t="inlineStr">
        <is>
          <t>KALMAR LÄN</t>
        </is>
      </c>
      <c r="E742" t="inlineStr">
        <is>
          <t>VÄSTERVIK</t>
        </is>
      </c>
      <c r="F742" t="inlineStr">
        <is>
          <t>Sveaskog</t>
        </is>
      </c>
      <c r="G742" t="n">
        <v>4.6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18048-2023</t>
        </is>
      </c>
      <c r="B743" s="1" t="n">
        <v>45040</v>
      </c>
      <c r="C743" s="1" t="n">
        <v>45175</v>
      </c>
      <c r="D743" t="inlineStr">
        <is>
          <t>KALMAR LÄN</t>
        </is>
      </c>
      <c r="E743" t="inlineStr">
        <is>
          <t>VÄSTERVIK</t>
        </is>
      </c>
      <c r="F743" t="inlineStr">
        <is>
          <t>Sveaskog</t>
        </is>
      </c>
      <c r="G743" t="n">
        <v>3.9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18068-2023</t>
        </is>
      </c>
      <c r="B744" s="1" t="n">
        <v>45040</v>
      </c>
      <c r="C744" s="1" t="n">
        <v>45175</v>
      </c>
      <c r="D744" t="inlineStr">
        <is>
          <t>KALMAR LÄN</t>
        </is>
      </c>
      <c r="E744" t="inlineStr">
        <is>
          <t>VÄSTERVIK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18081-2023</t>
        </is>
      </c>
      <c r="B745" s="1" t="n">
        <v>45040</v>
      </c>
      <c r="C745" s="1" t="n">
        <v>45175</v>
      </c>
      <c r="D745" t="inlineStr">
        <is>
          <t>KALMAR LÄN</t>
        </is>
      </c>
      <c r="E745" t="inlineStr">
        <is>
          <t>VÄSTERVIK</t>
        </is>
      </c>
      <c r="F745" t="inlineStr">
        <is>
          <t>Sveaskog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18647-2023</t>
        </is>
      </c>
      <c r="B746" s="1" t="n">
        <v>45043</v>
      </c>
      <c r="C746" s="1" t="n">
        <v>45175</v>
      </c>
      <c r="D746" t="inlineStr">
        <is>
          <t>KALMAR LÄN</t>
        </is>
      </c>
      <c r="E746" t="inlineStr">
        <is>
          <t>VÄSTERVIK</t>
        </is>
      </c>
      <c r="F746" t="inlineStr">
        <is>
          <t>Naturvårdsverket</t>
        </is>
      </c>
      <c r="G746" t="n">
        <v>7.5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18858-2023</t>
        </is>
      </c>
      <c r="B747" s="1" t="n">
        <v>45044</v>
      </c>
      <c r="C747" s="1" t="n">
        <v>45175</v>
      </c>
      <c r="D747" t="inlineStr">
        <is>
          <t>KALMAR LÄN</t>
        </is>
      </c>
      <c r="E747" t="inlineStr">
        <is>
          <t>VÄSTERVIK</t>
        </is>
      </c>
      <c r="G747" t="n">
        <v>2.8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19110-2023</t>
        </is>
      </c>
      <c r="B748" s="1" t="n">
        <v>45048</v>
      </c>
      <c r="C748" s="1" t="n">
        <v>45175</v>
      </c>
      <c r="D748" t="inlineStr">
        <is>
          <t>KALMAR LÄN</t>
        </is>
      </c>
      <c r="E748" t="inlineStr">
        <is>
          <t>VÄSTERVIK</t>
        </is>
      </c>
      <c r="G748" t="n">
        <v>0.7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19212-2023</t>
        </is>
      </c>
      <c r="B749" s="1" t="n">
        <v>45048</v>
      </c>
      <c r="C749" s="1" t="n">
        <v>45175</v>
      </c>
      <c r="D749" t="inlineStr">
        <is>
          <t>KALMAR LÄN</t>
        </is>
      </c>
      <c r="E749" t="inlineStr">
        <is>
          <t>VÄSTERVIK</t>
        </is>
      </c>
      <c r="G749" t="n">
        <v>0.8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19551-2023</t>
        </is>
      </c>
      <c r="B750" s="1" t="n">
        <v>45049</v>
      </c>
      <c r="C750" s="1" t="n">
        <v>45175</v>
      </c>
      <c r="D750" t="inlineStr">
        <is>
          <t>KALMAR LÄN</t>
        </is>
      </c>
      <c r="E750" t="inlineStr">
        <is>
          <t>VÄSTERVIK</t>
        </is>
      </c>
      <c r="G750" t="n">
        <v>3.2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19365-2023</t>
        </is>
      </c>
      <c r="B751" s="1" t="n">
        <v>45049</v>
      </c>
      <c r="C751" s="1" t="n">
        <v>45175</v>
      </c>
      <c r="D751" t="inlineStr">
        <is>
          <t>KALMAR LÄN</t>
        </is>
      </c>
      <c r="E751" t="inlineStr">
        <is>
          <t>VÄSTERVIK</t>
        </is>
      </c>
      <c r="G751" t="n">
        <v>5.8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  <c r="U751">
        <f>HYPERLINK("https://klasma.github.io/Logging_VASTERVIK/knärot/A 19365-2023.png")</f>
        <v/>
      </c>
      <c r="V751">
        <f>HYPERLINK("https://klasma.github.io/Logging_VASTERVIK/klagomål/A 19365-2023.docx")</f>
        <v/>
      </c>
      <c r="W751">
        <f>HYPERLINK("https://klasma.github.io/Logging_VASTERVIK/klagomålsmail/A 19365-2023.docx")</f>
        <v/>
      </c>
      <c r="X751">
        <f>HYPERLINK("https://klasma.github.io/Logging_VASTERVIK/tillsyn/A 19365-2023.docx")</f>
        <v/>
      </c>
      <c r="Y751">
        <f>HYPERLINK("https://klasma.github.io/Logging_VASTERVIK/tillsynsmail/A 19365-2023.docx")</f>
        <v/>
      </c>
    </row>
    <row r="752" ht="15" customHeight="1">
      <c r="A752" t="inlineStr">
        <is>
          <t>A 19660-2023</t>
        </is>
      </c>
      <c r="B752" s="1" t="n">
        <v>45051</v>
      </c>
      <c r="C752" s="1" t="n">
        <v>45175</v>
      </c>
      <c r="D752" t="inlineStr">
        <is>
          <t>KALMAR LÄN</t>
        </is>
      </c>
      <c r="E752" t="inlineStr">
        <is>
          <t>VÄSTERVIK</t>
        </is>
      </c>
      <c r="F752" t="inlineStr">
        <is>
          <t>Övriga Aktiebolag</t>
        </is>
      </c>
      <c r="G752" t="n">
        <v>4.6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19864-2023</t>
        </is>
      </c>
      <c r="B753" s="1" t="n">
        <v>45053</v>
      </c>
      <c r="C753" s="1" t="n">
        <v>45175</v>
      </c>
      <c r="D753" t="inlineStr">
        <is>
          <t>KALMAR LÄN</t>
        </is>
      </c>
      <c r="E753" t="inlineStr">
        <is>
          <t>VÄSTERVIK</t>
        </is>
      </c>
      <c r="G753" t="n">
        <v>4.9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20637-2023</t>
        </is>
      </c>
      <c r="B754" s="1" t="n">
        <v>45057</v>
      </c>
      <c r="C754" s="1" t="n">
        <v>45175</v>
      </c>
      <c r="D754" t="inlineStr">
        <is>
          <t>KALMAR LÄN</t>
        </is>
      </c>
      <c r="E754" t="inlineStr">
        <is>
          <t>VÄSTERVIK</t>
        </is>
      </c>
      <c r="F754" t="inlineStr">
        <is>
          <t>Holmen skog AB</t>
        </is>
      </c>
      <c r="G754" t="n">
        <v>5.9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21286-2023</t>
        </is>
      </c>
      <c r="B755" s="1" t="n">
        <v>45062</v>
      </c>
      <c r="C755" s="1" t="n">
        <v>45175</v>
      </c>
      <c r="D755" t="inlineStr">
        <is>
          <t>KALMAR LÄN</t>
        </is>
      </c>
      <c r="E755" t="inlineStr">
        <is>
          <t>VÄSTERVIK</t>
        </is>
      </c>
      <c r="G755" t="n">
        <v>2.1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21830-2023</t>
        </is>
      </c>
      <c r="B756" s="1" t="n">
        <v>45068</v>
      </c>
      <c r="C756" s="1" t="n">
        <v>45175</v>
      </c>
      <c r="D756" t="inlineStr">
        <is>
          <t>KALMAR LÄN</t>
        </is>
      </c>
      <c r="E756" t="inlineStr">
        <is>
          <t>VÄSTERVIK</t>
        </is>
      </c>
      <c r="G756" t="n">
        <v>3.2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21823-2023</t>
        </is>
      </c>
      <c r="B757" s="1" t="n">
        <v>45068</v>
      </c>
      <c r="C757" s="1" t="n">
        <v>45175</v>
      </c>
      <c r="D757" t="inlineStr">
        <is>
          <t>KALMAR LÄN</t>
        </is>
      </c>
      <c r="E757" t="inlineStr">
        <is>
          <t>VÄSTERVIK</t>
        </is>
      </c>
      <c r="G757" t="n">
        <v>3.6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21826-2023</t>
        </is>
      </c>
      <c r="B758" s="1" t="n">
        <v>45068</v>
      </c>
      <c r="C758" s="1" t="n">
        <v>45175</v>
      </c>
      <c r="D758" t="inlineStr">
        <is>
          <t>KALMAR LÄN</t>
        </is>
      </c>
      <c r="E758" t="inlineStr">
        <is>
          <t>VÄSTERVIK</t>
        </is>
      </c>
      <c r="G758" t="n">
        <v>1.6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21831-2023</t>
        </is>
      </c>
      <c r="B759" s="1" t="n">
        <v>45068</v>
      </c>
      <c r="C759" s="1" t="n">
        <v>45175</v>
      </c>
      <c r="D759" t="inlineStr">
        <is>
          <t>KALMAR LÄN</t>
        </is>
      </c>
      <c r="E759" t="inlineStr">
        <is>
          <t>VÄSTERVIK</t>
        </is>
      </c>
      <c r="G759" t="n">
        <v>0.4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21824-2023</t>
        </is>
      </c>
      <c r="B760" s="1" t="n">
        <v>45068</v>
      </c>
      <c r="C760" s="1" t="n">
        <v>45175</v>
      </c>
      <c r="D760" t="inlineStr">
        <is>
          <t>KALMAR LÄN</t>
        </is>
      </c>
      <c r="E760" t="inlineStr">
        <is>
          <t>VÄSTERVIK</t>
        </is>
      </c>
      <c r="G760" t="n">
        <v>1.7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21829-2023</t>
        </is>
      </c>
      <c r="B761" s="1" t="n">
        <v>45068</v>
      </c>
      <c r="C761" s="1" t="n">
        <v>45175</v>
      </c>
      <c r="D761" t="inlineStr">
        <is>
          <t>KALMAR LÄN</t>
        </is>
      </c>
      <c r="E761" t="inlineStr">
        <is>
          <t>VÄSTERVIK</t>
        </is>
      </c>
      <c r="G761" t="n">
        <v>1.7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21942-2023</t>
        </is>
      </c>
      <c r="B762" s="1" t="n">
        <v>45068</v>
      </c>
      <c r="C762" s="1" t="n">
        <v>45175</v>
      </c>
      <c r="D762" t="inlineStr">
        <is>
          <t>KALMAR LÄN</t>
        </is>
      </c>
      <c r="E762" t="inlineStr">
        <is>
          <t>VÄSTERVIK</t>
        </is>
      </c>
      <c r="G762" t="n">
        <v>1.3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23439-2023</t>
        </is>
      </c>
      <c r="B763" s="1" t="n">
        <v>45072</v>
      </c>
      <c r="C763" s="1" t="n">
        <v>45175</v>
      </c>
      <c r="D763" t="inlineStr">
        <is>
          <t>KALMAR LÄN</t>
        </is>
      </c>
      <c r="E763" t="inlineStr">
        <is>
          <t>VÄSTERVIK</t>
        </is>
      </c>
      <c r="G763" t="n">
        <v>4.2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23078-2023</t>
        </is>
      </c>
      <c r="B764" s="1" t="n">
        <v>45075</v>
      </c>
      <c r="C764" s="1" t="n">
        <v>45175</v>
      </c>
      <c r="D764" t="inlineStr">
        <is>
          <t>KALMAR LÄN</t>
        </is>
      </c>
      <c r="E764" t="inlineStr">
        <is>
          <t>VÄSTERVIK</t>
        </is>
      </c>
      <c r="G764" t="n">
        <v>3.4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23080-2023</t>
        </is>
      </c>
      <c r="B765" s="1" t="n">
        <v>45075</v>
      </c>
      <c r="C765" s="1" t="n">
        <v>45175</v>
      </c>
      <c r="D765" t="inlineStr">
        <is>
          <t>KALMAR LÄN</t>
        </is>
      </c>
      <c r="E765" t="inlineStr">
        <is>
          <t>VÄSTERVIK</t>
        </is>
      </c>
      <c r="G765" t="n">
        <v>0.6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23317-2023</t>
        </is>
      </c>
      <c r="B766" s="1" t="n">
        <v>45076</v>
      </c>
      <c r="C766" s="1" t="n">
        <v>45175</v>
      </c>
      <c r="D766" t="inlineStr">
        <is>
          <t>KALMAR LÄN</t>
        </is>
      </c>
      <c r="E766" t="inlineStr">
        <is>
          <t>VÄSTERVIK</t>
        </is>
      </c>
      <c r="G766" t="n">
        <v>1.1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23580-2023</t>
        </is>
      </c>
      <c r="B767" s="1" t="n">
        <v>45077</v>
      </c>
      <c r="C767" s="1" t="n">
        <v>45175</v>
      </c>
      <c r="D767" t="inlineStr">
        <is>
          <t>KALMAR LÄN</t>
        </is>
      </c>
      <c r="E767" t="inlineStr">
        <is>
          <t>VÄSTERVIK</t>
        </is>
      </c>
      <c r="G767" t="n">
        <v>1.9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25403-2023</t>
        </is>
      </c>
      <c r="B768" s="1" t="n">
        <v>45079</v>
      </c>
      <c r="C768" s="1" t="n">
        <v>45175</v>
      </c>
      <c r="D768" t="inlineStr">
        <is>
          <t>KALMAR LÄN</t>
        </is>
      </c>
      <c r="E768" t="inlineStr">
        <is>
          <t>VÄSTERVIK</t>
        </is>
      </c>
      <c r="G768" t="n">
        <v>4.3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24881-2023</t>
        </is>
      </c>
      <c r="B769" s="1" t="n">
        <v>45085</v>
      </c>
      <c r="C769" s="1" t="n">
        <v>45175</v>
      </c>
      <c r="D769" t="inlineStr">
        <is>
          <t>KALMAR LÄN</t>
        </is>
      </c>
      <c r="E769" t="inlineStr">
        <is>
          <t>VÄSTERVIK</t>
        </is>
      </c>
      <c r="F769" t="inlineStr">
        <is>
          <t>Holmen skog AB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24893-2023</t>
        </is>
      </c>
      <c r="B770" s="1" t="n">
        <v>45085</v>
      </c>
      <c r="C770" s="1" t="n">
        <v>45175</v>
      </c>
      <c r="D770" t="inlineStr">
        <is>
          <t>KALMAR LÄN</t>
        </is>
      </c>
      <c r="E770" t="inlineStr">
        <is>
          <t>VÄSTERVIK</t>
        </is>
      </c>
      <c r="F770" t="inlineStr">
        <is>
          <t>Holmen skog AB</t>
        </is>
      </c>
      <c r="G770" t="n">
        <v>3.4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25180-2023</t>
        </is>
      </c>
      <c r="B771" s="1" t="n">
        <v>45086</v>
      </c>
      <c r="C771" s="1" t="n">
        <v>45175</v>
      </c>
      <c r="D771" t="inlineStr">
        <is>
          <t>KALMAR LÄN</t>
        </is>
      </c>
      <c r="E771" t="inlineStr">
        <is>
          <t>VÄSTERVIK</t>
        </is>
      </c>
      <c r="G771" t="n">
        <v>0.5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25518-2023</t>
        </is>
      </c>
      <c r="B772" s="1" t="n">
        <v>45089</v>
      </c>
      <c r="C772" s="1" t="n">
        <v>45175</v>
      </c>
      <c r="D772" t="inlineStr">
        <is>
          <t>KALMAR LÄN</t>
        </is>
      </c>
      <c r="E772" t="inlineStr">
        <is>
          <t>VÄSTERVIK</t>
        </is>
      </c>
      <c r="F772" t="inlineStr">
        <is>
          <t>Holmen skog AB</t>
        </is>
      </c>
      <c r="G772" t="n">
        <v>3.3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25568-2023</t>
        </is>
      </c>
      <c r="B773" s="1" t="n">
        <v>45089</v>
      </c>
      <c r="C773" s="1" t="n">
        <v>45175</v>
      </c>
      <c r="D773" t="inlineStr">
        <is>
          <t>KALMAR LÄN</t>
        </is>
      </c>
      <c r="E773" t="inlineStr">
        <is>
          <t>VÄSTERVIK</t>
        </is>
      </c>
      <c r="G773" t="n">
        <v>2.2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25714-2023</t>
        </is>
      </c>
      <c r="B774" s="1" t="n">
        <v>45089</v>
      </c>
      <c r="C774" s="1" t="n">
        <v>45175</v>
      </c>
      <c r="D774" t="inlineStr">
        <is>
          <t>KALMAR LÄN</t>
        </is>
      </c>
      <c r="E774" t="inlineStr">
        <is>
          <t>VÄSTERVIK</t>
        </is>
      </c>
      <c r="G774" t="n">
        <v>10.5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25801-2023</t>
        </is>
      </c>
      <c r="B775" s="1" t="n">
        <v>45090</v>
      </c>
      <c r="C775" s="1" t="n">
        <v>45175</v>
      </c>
      <c r="D775" t="inlineStr">
        <is>
          <t>KALMAR LÄN</t>
        </is>
      </c>
      <c r="E775" t="inlineStr">
        <is>
          <t>VÄSTERVIK</t>
        </is>
      </c>
      <c r="F775" t="inlineStr">
        <is>
          <t>Holmen skog AB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26244-2023</t>
        </is>
      </c>
      <c r="B776" s="1" t="n">
        <v>45091</v>
      </c>
      <c r="C776" s="1" t="n">
        <v>45175</v>
      </c>
      <c r="D776" t="inlineStr">
        <is>
          <t>KALMAR LÄN</t>
        </is>
      </c>
      <c r="E776" t="inlineStr">
        <is>
          <t>VÄSTERVIK</t>
        </is>
      </c>
      <c r="F776" t="inlineStr">
        <is>
          <t>Holmen skog AB</t>
        </is>
      </c>
      <c r="G776" t="n">
        <v>2.4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26772-2023</t>
        </is>
      </c>
      <c r="B777" s="1" t="n">
        <v>45093</v>
      </c>
      <c r="C777" s="1" t="n">
        <v>45175</v>
      </c>
      <c r="D777" t="inlineStr">
        <is>
          <t>KALMAR LÄN</t>
        </is>
      </c>
      <c r="E777" t="inlineStr">
        <is>
          <t>VÄSTERVIK</t>
        </is>
      </c>
      <c r="G777" t="n">
        <v>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26770-2023</t>
        </is>
      </c>
      <c r="B778" s="1" t="n">
        <v>45093</v>
      </c>
      <c r="C778" s="1" t="n">
        <v>45175</v>
      </c>
      <c r="D778" t="inlineStr">
        <is>
          <t>KALMAR LÄN</t>
        </is>
      </c>
      <c r="E778" t="inlineStr">
        <is>
          <t>VÄSTERVIK</t>
        </is>
      </c>
      <c r="G778" t="n">
        <v>2.6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26773-2023</t>
        </is>
      </c>
      <c r="B779" s="1" t="n">
        <v>45093</v>
      </c>
      <c r="C779" s="1" t="n">
        <v>45175</v>
      </c>
      <c r="D779" t="inlineStr">
        <is>
          <t>KALMAR LÄN</t>
        </is>
      </c>
      <c r="E779" t="inlineStr">
        <is>
          <t>VÄSTERVIK</t>
        </is>
      </c>
      <c r="G779" t="n">
        <v>2.2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26776-2023</t>
        </is>
      </c>
      <c r="B780" s="1" t="n">
        <v>45093</v>
      </c>
      <c r="C780" s="1" t="n">
        <v>45175</v>
      </c>
      <c r="D780" t="inlineStr">
        <is>
          <t>KALMAR LÄN</t>
        </is>
      </c>
      <c r="E780" t="inlineStr">
        <is>
          <t>VÄSTERVIK</t>
        </is>
      </c>
      <c r="G780" t="n">
        <v>1.3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27476-2023</t>
        </is>
      </c>
      <c r="B781" s="1" t="n">
        <v>45097</v>
      </c>
      <c r="C781" s="1" t="n">
        <v>45175</v>
      </c>
      <c r="D781" t="inlineStr">
        <is>
          <t>KALMAR LÄN</t>
        </is>
      </c>
      <c r="E781" t="inlineStr">
        <is>
          <t>VÄSTERVIK</t>
        </is>
      </c>
      <c r="G781" t="n">
        <v>5.2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27482-2023</t>
        </is>
      </c>
      <c r="B782" s="1" t="n">
        <v>45097</v>
      </c>
      <c r="C782" s="1" t="n">
        <v>45175</v>
      </c>
      <c r="D782" t="inlineStr">
        <is>
          <t>KALMAR LÄN</t>
        </is>
      </c>
      <c r="E782" t="inlineStr">
        <is>
          <t>VÄSTERVIK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27480-2023</t>
        </is>
      </c>
      <c r="B783" s="1" t="n">
        <v>45097</v>
      </c>
      <c r="C783" s="1" t="n">
        <v>45175</v>
      </c>
      <c r="D783" t="inlineStr">
        <is>
          <t>KALMAR LÄN</t>
        </is>
      </c>
      <c r="E783" t="inlineStr">
        <is>
          <t>VÄSTERVIK</t>
        </is>
      </c>
      <c r="G783" t="n">
        <v>2.6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27485-2023</t>
        </is>
      </c>
      <c r="B784" s="1" t="n">
        <v>45097</v>
      </c>
      <c r="C784" s="1" t="n">
        <v>45175</v>
      </c>
      <c r="D784" t="inlineStr">
        <is>
          <t>KALMAR LÄN</t>
        </is>
      </c>
      <c r="E784" t="inlineStr">
        <is>
          <t>VÄSTERVIK</t>
        </is>
      </c>
      <c r="G784" t="n">
        <v>0.9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27491-2023</t>
        </is>
      </c>
      <c r="B785" s="1" t="n">
        <v>45097</v>
      </c>
      <c r="C785" s="1" t="n">
        <v>45175</v>
      </c>
      <c r="D785" t="inlineStr">
        <is>
          <t>KALMAR LÄN</t>
        </is>
      </c>
      <c r="E785" t="inlineStr">
        <is>
          <t>VÄSTERVIK</t>
        </is>
      </c>
      <c r="G785" t="n">
        <v>4.2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28952-2023</t>
        </is>
      </c>
      <c r="B786" s="1" t="n">
        <v>45104</v>
      </c>
      <c r="C786" s="1" t="n">
        <v>45175</v>
      </c>
      <c r="D786" t="inlineStr">
        <is>
          <t>KALMAR LÄN</t>
        </is>
      </c>
      <c r="E786" t="inlineStr">
        <is>
          <t>VÄSTERVIK</t>
        </is>
      </c>
      <c r="F786" t="inlineStr">
        <is>
          <t>Holmen skog AB</t>
        </is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28939-2023</t>
        </is>
      </c>
      <c r="B787" s="1" t="n">
        <v>45104</v>
      </c>
      <c r="C787" s="1" t="n">
        <v>45175</v>
      </c>
      <c r="D787" t="inlineStr">
        <is>
          <t>KALMAR LÄN</t>
        </is>
      </c>
      <c r="E787" t="inlineStr">
        <is>
          <t>VÄSTERVIK</t>
        </is>
      </c>
      <c r="F787" t="inlineStr">
        <is>
          <t>Holmen skog AB</t>
        </is>
      </c>
      <c r="G787" t="n">
        <v>2.6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30029-2023</t>
        </is>
      </c>
      <c r="B788" s="1" t="n">
        <v>45110</v>
      </c>
      <c r="C788" s="1" t="n">
        <v>45175</v>
      </c>
      <c r="D788" t="inlineStr">
        <is>
          <t>KALMAR LÄN</t>
        </is>
      </c>
      <c r="E788" t="inlineStr">
        <is>
          <t>VÄSTERVIK</t>
        </is>
      </c>
      <c r="F788" t="inlineStr">
        <is>
          <t>Holmen skog AB</t>
        </is>
      </c>
      <c r="G788" t="n">
        <v>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32418-2023</t>
        </is>
      </c>
      <c r="B789" s="1" t="n">
        <v>45110</v>
      </c>
      <c r="C789" s="1" t="n">
        <v>45175</v>
      </c>
      <c r="D789" t="inlineStr">
        <is>
          <t>KALMAR LÄN</t>
        </is>
      </c>
      <c r="E789" t="inlineStr">
        <is>
          <t>VÄSTERVIK</t>
        </is>
      </c>
      <c r="G789" t="n">
        <v>8.6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30035-2023</t>
        </is>
      </c>
      <c r="B790" s="1" t="n">
        <v>45110</v>
      </c>
      <c r="C790" s="1" t="n">
        <v>45175</v>
      </c>
      <c r="D790" t="inlineStr">
        <is>
          <t>KALMAR LÄN</t>
        </is>
      </c>
      <c r="E790" t="inlineStr">
        <is>
          <t>VÄSTERVIK</t>
        </is>
      </c>
      <c r="F790" t="inlineStr">
        <is>
          <t>Holmen skog AB</t>
        </is>
      </c>
      <c r="G790" t="n">
        <v>1.1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30431-2023</t>
        </is>
      </c>
      <c r="B791" s="1" t="n">
        <v>45111</v>
      </c>
      <c r="C791" s="1" t="n">
        <v>45175</v>
      </c>
      <c r="D791" t="inlineStr">
        <is>
          <t>KALMAR LÄN</t>
        </is>
      </c>
      <c r="E791" t="inlineStr">
        <is>
          <t>VÄSTERVIK</t>
        </is>
      </c>
      <c r="G791" t="n">
        <v>1.9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31686-2023</t>
        </is>
      </c>
      <c r="B792" s="1" t="n">
        <v>45117</v>
      </c>
      <c r="C792" s="1" t="n">
        <v>45175</v>
      </c>
      <c r="D792" t="inlineStr">
        <is>
          <t>KALMAR LÄN</t>
        </is>
      </c>
      <c r="E792" t="inlineStr">
        <is>
          <t>VÄSTERVIK</t>
        </is>
      </c>
      <c r="G792" t="n">
        <v>1.7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32647-2023</t>
        </is>
      </c>
      <c r="B793" s="1" t="n">
        <v>45121</v>
      </c>
      <c r="C793" s="1" t="n">
        <v>45175</v>
      </c>
      <c r="D793" t="inlineStr">
        <is>
          <t>KALMAR LÄN</t>
        </is>
      </c>
      <c r="E793" t="inlineStr">
        <is>
          <t>VÄSTERVIK</t>
        </is>
      </c>
      <c r="G793" t="n">
        <v>0.9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33254-2023</t>
        </is>
      </c>
      <c r="B794" s="1" t="n">
        <v>45127</v>
      </c>
      <c r="C794" s="1" t="n">
        <v>45175</v>
      </c>
      <c r="D794" t="inlineStr">
        <is>
          <t>KALMAR LÄN</t>
        </is>
      </c>
      <c r="E794" t="inlineStr">
        <is>
          <t>VÄSTERVIK</t>
        </is>
      </c>
      <c r="G794" t="n">
        <v>1.2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33271-2023</t>
        </is>
      </c>
      <c r="B795" s="1" t="n">
        <v>45127</v>
      </c>
      <c r="C795" s="1" t="n">
        <v>45175</v>
      </c>
      <c r="D795" t="inlineStr">
        <is>
          <t>KALMAR LÄN</t>
        </is>
      </c>
      <c r="E795" t="inlineStr">
        <is>
          <t>VÄSTERVIK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33272-2023</t>
        </is>
      </c>
      <c r="B796" s="1" t="n">
        <v>45127</v>
      </c>
      <c r="C796" s="1" t="n">
        <v>45175</v>
      </c>
      <c r="D796" t="inlineStr">
        <is>
          <t>KALMAR LÄN</t>
        </is>
      </c>
      <c r="E796" t="inlineStr">
        <is>
          <t>VÄSTERVIK</t>
        </is>
      </c>
      <c r="G796" t="n">
        <v>1.4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33489-2023</t>
        </is>
      </c>
      <c r="B797" s="1" t="n">
        <v>45131</v>
      </c>
      <c r="C797" s="1" t="n">
        <v>45175</v>
      </c>
      <c r="D797" t="inlineStr">
        <is>
          <t>KALMAR LÄN</t>
        </is>
      </c>
      <c r="E797" t="inlineStr">
        <is>
          <t>VÄSTERVIK</t>
        </is>
      </c>
      <c r="G797" t="n">
        <v>7.3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33721-2023</t>
        </is>
      </c>
      <c r="B798" s="1" t="n">
        <v>45133</v>
      </c>
      <c r="C798" s="1" t="n">
        <v>45175</v>
      </c>
      <c r="D798" t="inlineStr">
        <is>
          <t>KALMAR LÄN</t>
        </is>
      </c>
      <c r="E798" t="inlineStr">
        <is>
          <t>VÄSTERVIK</t>
        </is>
      </c>
      <c r="F798" t="inlineStr">
        <is>
          <t>Holmen skog AB</t>
        </is>
      </c>
      <c r="G798" t="n">
        <v>1.3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33720-2023</t>
        </is>
      </c>
      <c r="B799" s="1" t="n">
        <v>45133</v>
      </c>
      <c r="C799" s="1" t="n">
        <v>45175</v>
      </c>
      <c r="D799" t="inlineStr">
        <is>
          <t>KALMAR LÄN</t>
        </is>
      </c>
      <c r="E799" t="inlineStr">
        <is>
          <t>VÄSTERVIK</t>
        </is>
      </c>
      <c r="F799" t="inlineStr">
        <is>
          <t>Holmen skog AB</t>
        </is>
      </c>
      <c r="G799" t="n">
        <v>2.4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33722-2023</t>
        </is>
      </c>
      <c r="B800" s="1" t="n">
        <v>45133</v>
      </c>
      <c r="C800" s="1" t="n">
        <v>45175</v>
      </c>
      <c r="D800" t="inlineStr">
        <is>
          <t>KALMAR LÄN</t>
        </is>
      </c>
      <c r="E800" t="inlineStr">
        <is>
          <t>VÄSTERVIK</t>
        </is>
      </c>
      <c r="F800" t="inlineStr">
        <is>
          <t>Holmen skog AB</t>
        </is>
      </c>
      <c r="G800" t="n">
        <v>1.8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34643-2023</t>
        </is>
      </c>
      <c r="B801" s="1" t="n">
        <v>45140</v>
      </c>
      <c r="C801" s="1" t="n">
        <v>45175</v>
      </c>
      <c r="D801" t="inlineStr">
        <is>
          <t>KALMAR LÄN</t>
        </is>
      </c>
      <c r="E801" t="inlineStr">
        <is>
          <t>VÄSTERVIK</t>
        </is>
      </c>
      <c r="G801" t="n">
        <v>1.7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34650-2023</t>
        </is>
      </c>
      <c r="B802" s="1" t="n">
        <v>45140</v>
      </c>
      <c r="C802" s="1" t="n">
        <v>45175</v>
      </c>
      <c r="D802" t="inlineStr">
        <is>
          <t>KALMAR LÄN</t>
        </is>
      </c>
      <c r="E802" t="inlineStr">
        <is>
          <t>VÄSTERVIK</t>
        </is>
      </c>
      <c r="G802" t="n">
        <v>1.4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34641-2023</t>
        </is>
      </c>
      <c r="B803" s="1" t="n">
        <v>45140</v>
      </c>
      <c r="C803" s="1" t="n">
        <v>45175</v>
      </c>
      <c r="D803" t="inlineStr">
        <is>
          <t>KALMAR LÄN</t>
        </is>
      </c>
      <c r="E803" t="inlineStr">
        <is>
          <t>VÄSTERVIK</t>
        </is>
      </c>
      <c r="G803" t="n">
        <v>2.3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34648-2023</t>
        </is>
      </c>
      <c r="B804" s="1" t="n">
        <v>45140</v>
      </c>
      <c r="C804" s="1" t="n">
        <v>45175</v>
      </c>
      <c r="D804" t="inlineStr">
        <is>
          <t>KALMAR LÄN</t>
        </is>
      </c>
      <c r="E804" t="inlineStr">
        <is>
          <t>VÄSTERVIK</t>
        </is>
      </c>
      <c r="G804" t="n">
        <v>1.7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34646-2023</t>
        </is>
      </c>
      <c r="B805" s="1" t="n">
        <v>45140</v>
      </c>
      <c r="C805" s="1" t="n">
        <v>45175</v>
      </c>
      <c r="D805" t="inlineStr">
        <is>
          <t>KALMAR LÄN</t>
        </is>
      </c>
      <c r="E805" t="inlineStr">
        <is>
          <t>VÄSTERVIK</t>
        </is>
      </c>
      <c r="G805" t="n">
        <v>3.1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34655-2023</t>
        </is>
      </c>
      <c r="B806" s="1" t="n">
        <v>45140</v>
      </c>
      <c r="C806" s="1" t="n">
        <v>45175</v>
      </c>
      <c r="D806" t="inlineStr">
        <is>
          <t>KALMAR LÄN</t>
        </is>
      </c>
      <c r="E806" t="inlineStr">
        <is>
          <t>VÄSTERVIK</t>
        </is>
      </c>
      <c r="G806" t="n">
        <v>3.6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35484-2023</t>
        </is>
      </c>
      <c r="B807" s="1" t="n">
        <v>45146</v>
      </c>
      <c r="C807" s="1" t="n">
        <v>45175</v>
      </c>
      <c r="D807" t="inlineStr">
        <is>
          <t>KALMAR LÄN</t>
        </is>
      </c>
      <c r="E807" t="inlineStr">
        <is>
          <t>VÄSTERVIK</t>
        </is>
      </c>
      <c r="G807" t="n">
        <v>1.6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35502-2023</t>
        </is>
      </c>
      <c r="B808" s="1" t="n">
        <v>45146</v>
      </c>
      <c r="C808" s="1" t="n">
        <v>45175</v>
      </c>
      <c r="D808" t="inlineStr">
        <is>
          <t>KALMAR LÄN</t>
        </is>
      </c>
      <c r="E808" t="inlineStr">
        <is>
          <t>VÄSTERVIK</t>
        </is>
      </c>
      <c r="F808" t="inlineStr">
        <is>
          <t>Holmen skog AB</t>
        </is>
      </c>
      <c r="G808" t="n">
        <v>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35485-2023</t>
        </is>
      </c>
      <c r="B809" s="1" t="n">
        <v>45146</v>
      </c>
      <c r="C809" s="1" t="n">
        <v>45175</v>
      </c>
      <c r="D809" t="inlineStr">
        <is>
          <t>KALMAR LÄN</t>
        </is>
      </c>
      <c r="E809" t="inlineStr">
        <is>
          <t>VÄSTERVIK</t>
        </is>
      </c>
      <c r="G809" t="n">
        <v>1.4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35606-2023</t>
        </is>
      </c>
      <c r="B810" s="1" t="n">
        <v>45147</v>
      </c>
      <c r="C810" s="1" t="n">
        <v>45175</v>
      </c>
      <c r="D810" t="inlineStr">
        <is>
          <t>KALMAR LÄN</t>
        </is>
      </c>
      <c r="E810" t="inlineStr">
        <is>
          <t>VÄSTERVIK</t>
        </is>
      </c>
      <c r="G810" t="n">
        <v>1.4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35619-2023</t>
        </is>
      </c>
      <c r="B811" s="1" t="n">
        <v>45147</v>
      </c>
      <c r="C811" s="1" t="n">
        <v>45175</v>
      </c>
      <c r="D811" t="inlineStr">
        <is>
          <t>KALMAR LÄN</t>
        </is>
      </c>
      <c r="E811" t="inlineStr">
        <is>
          <t>VÄSTERVIK</t>
        </is>
      </c>
      <c r="G811" t="n">
        <v>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35770-2023</t>
        </is>
      </c>
      <c r="B812" s="1" t="n">
        <v>45147</v>
      </c>
      <c r="C812" s="1" t="n">
        <v>45175</v>
      </c>
      <c r="D812" t="inlineStr">
        <is>
          <t>KALMAR LÄN</t>
        </is>
      </c>
      <c r="E812" t="inlineStr">
        <is>
          <t>VÄSTERVIK</t>
        </is>
      </c>
      <c r="F812" t="inlineStr">
        <is>
          <t>Holmen skog AB</t>
        </is>
      </c>
      <c r="G812" t="n">
        <v>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36643-2023</t>
        </is>
      </c>
      <c r="B813" s="1" t="n">
        <v>45153</v>
      </c>
      <c r="C813" s="1" t="n">
        <v>45175</v>
      </c>
      <c r="D813" t="inlineStr">
        <is>
          <t>KALMAR LÄN</t>
        </is>
      </c>
      <c r="E813" t="inlineStr">
        <is>
          <t>VÄSTERVIK</t>
        </is>
      </c>
      <c r="G813" t="n">
        <v>0.8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37716-2023</t>
        </is>
      </c>
      <c r="B814" s="1" t="n">
        <v>45159</v>
      </c>
      <c r="C814" s="1" t="n">
        <v>45175</v>
      </c>
      <c r="D814" t="inlineStr">
        <is>
          <t>KALMAR LÄN</t>
        </is>
      </c>
      <c r="E814" t="inlineStr">
        <is>
          <t>VÄSTERVIK</t>
        </is>
      </c>
      <c r="G814" t="n">
        <v>1.7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>
      <c r="A815" t="inlineStr">
        <is>
          <t>A 40973-2023</t>
        </is>
      </c>
      <c r="B815" s="1" t="n">
        <v>45173</v>
      </c>
      <c r="C815" s="1" t="n">
        <v>45175</v>
      </c>
      <c r="D815" t="inlineStr">
        <is>
          <t>KALMAR LÄN</t>
        </is>
      </c>
      <c r="E815" t="inlineStr">
        <is>
          <t>VÄSTERVIK</t>
        </is>
      </c>
      <c r="G815" t="n">
        <v>1.5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2023-09-06T04:38:57Z</dcterms:created>
  <dcterms:modified xmlns:dcterms="http://purl.org/dc/terms/" xmlns:xsi="http://www.w3.org/2001/XMLSchema-instance" xsi:type="dcterms:W3CDTF">2023-09-06T04:38:58Z</dcterms:modified>
</cp:coreProperties>
</file>