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45171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58458-2022.xlsx")</f>
        <v/>
      </c>
      <c r="T2">
        <f>HYPERLINK("https://klasma.github.io/Logging_VASTERVIK/kartor/A 58458-2022.png")</f>
        <v/>
      </c>
      <c r="U2">
        <f>HYPERLINK("https://klasma.github.io/Logging_VASTERVIK/knärot/A 58458-2022.png")</f>
        <v/>
      </c>
      <c r="V2">
        <f>HYPERLINK("https://klasma.github.io/Logging_VASTERVIK/klagomål/A 58458-2022.docx")</f>
        <v/>
      </c>
      <c r="W2">
        <f>HYPERLINK("https://klasma.github.io/Logging_VASTERVIK/klagomålsmail/A 58458-2022.docx")</f>
        <v/>
      </c>
      <c r="X2">
        <f>HYPERLINK("https://klasma.github.io/Logging_VASTERVIK/tillsyn/A 58458-2022.docx")</f>
        <v/>
      </c>
      <c r="Y2">
        <f>HYPERLINK("https://klasma.github.io/Logging_VASTERVIK/tillsynsmail/A 58458-2022.docx")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45171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58937-2022.xlsx")</f>
        <v/>
      </c>
      <c r="T3">
        <f>HYPERLINK("https://klasma.github.io/Logging_VASTERVIK/kartor/A 58937-2022.png")</f>
        <v/>
      </c>
      <c r="U3">
        <f>HYPERLINK("https://klasma.github.io/Logging_VASTERVIK/knärot/A 58937-2022.png")</f>
        <v/>
      </c>
      <c r="V3">
        <f>HYPERLINK("https://klasma.github.io/Logging_VASTERVIK/klagomål/A 58937-2022.docx")</f>
        <v/>
      </c>
      <c r="W3">
        <f>HYPERLINK("https://klasma.github.io/Logging_VASTERVIK/klagomålsmail/A 58937-2022.docx")</f>
        <v/>
      </c>
      <c r="X3">
        <f>HYPERLINK("https://klasma.github.io/Logging_VASTERVIK/tillsyn/A 58937-2022.docx")</f>
        <v/>
      </c>
      <c r="Y3">
        <f>HYPERLINK("https://klasma.github.io/Logging_VASTERVIK/tillsynsmail/A 58937-2022.docx")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45171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54601-2022.xlsx")</f>
        <v/>
      </c>
      <c r="T4">
        <f>HYPERLINK("https://klasma.github.io/Logging_VASTERVIK/kartor/A 54601-2022.png")</f>
        <v/>
      </c>
      <c r="V4">
        <f>HYPERLINK("https://klasma.github.io/Logging_VASTERVIK/klagomål/A 54601-2022.docx")</f>
        <v/>
      </c>
      <c r="W4">
        <f>HYPERLINK("https://klasma.github.io/Logging_VASTERVIK/klagomålsmail/A 54601-2022.docx")</f>
        <v/>
      </c>
      <c r="X4">
        <f>HYPERLINK("https://klasma.github.io/Logging_VASTERVIK/tillsyn/A 54601-2022.docx")</f>
        <v/>
      </c>
      <c r="Y4">
        <f>HYPERLINK("https://klasma.github.io/Logging_VASTERVIK/tillsynsmail/A 54601-2022.docx")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45171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7757-2021.xlsx")</f>
        <v/>
      </c>
      <c r="T5">
        <f>HYPERLINK("https://klasma.github.io/Logging_VASTERVIK/kartor/A 7757-2021.png")</f>
        <v/>
      </c>
      <c r="U5">
        <f>HYPERLINK("https://klasma.github.io/Logging_VASTERVIK/knärot/A 7757-2021.png")</f>
        <v/>
      </c>
      <c r="V5">
        <f>HYPERLINK("https://klasma.github.io/Logging_VASTERVIK/klagomål/A 7757-2021.docx")</f>
        <v/>
      </c>
      <c r="W5">
        <f>HYPERLINK("https://klasma.github.io/Logging_VASTERVIK/klagomålsmail/A 7757-2021.docx")</f>
        <v/>
      </c>
      <c r="X5">
        <f>HYPERLINK("https://klasma.github.io/Logging_VASTERVIK/tillsyn/A 7757-2021.docx")</f>
        <v/>
      </c>
      <c r="Y5">
        <f>HYPERLINK("https://klasma.github.io/Logging_VASTERVIK/tillsynsmail/A 7757-2021.docx")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45171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37023-2021.xlsx")</f>
        <v/>
      </c>
      <c r="T6">
        <f>HYPERLINK("https://klasma.github.io/Logging_VASTERVIK/kartor/A 37023-2021.png")</f>
        <v/>
      </c>
      <c r="U6">
        <f>HYPERLINK("https://klasma.github.io/Logging_VASTERVIK/knärot/A 37023-2021.png")</f>
        <v/>
      </c>
      <c r="V6">
        <f>HYPERLINK("https://klasma.github.io/Logging_VASTERVIK/klagomål/A 37023-2021.docx")</f>
        <v/>
      </c>
      <c r="W6">
        <f>HYPERLINK("https://klasma.github.io/Logging_VASTERVIK/klagomålsmail/A 37023-2021.docx")</f>
        <v/>
      </c>
      <c r="X6">
        <f>HYPERLINK("https://klasma.github.io/Logging_VASTERVIK/tillsyn/A 37023-2021.docx")</f>
        <v/>
      </c>
      <c r="Y6">
        <f>HYPERLINK("https://klasma.github.io/Logging_VASTERVIK/tillsynsmail/A 37023-2021.docx")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45171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63105-2019.xlsx")</f>
        <v/>
      </c>
      <c r="T7">
        <f>HYPERLINK("https://klasma.github.io/Logging_VASTERVIK/kartor/A 63105-2019.png")</f>
        <v/>
      </c>
      <c r="V7">
        <f>HYPERLINK("https://klasma.github.io/Logging_VASTERVIK/klagomål/A 63105-2019.docx")</f>
        <v/>
      </c>
      <c r="W7">
        <f>HYPERLINK("https://klasma.github.io/Logging_VASTERVIK/klagomålsmail/A 63105-2019.docx")</f>
        <v/>
      </c>
      <c r="X7">
        <f>HYPERLINK("https://klasma.github.io/Logging_VASTERVIK/tillsyn/A 63105-2019.docx")</f>
        <v/>
      </c>
      <c r="Y7">
        <f>HYPERLINK("https://klasma.github.io/Logging_VASTERVIK/tillsynsmail/A 63105-2019.docx")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45171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15252-2021.xlsx")</f>
        <v/>
      </c>
      <c r="T8">
        <f>HYPERLINK("https://klasma.github.io/Logging_VASTERVIK/kartor/A 15252-2021.png")</f>
        <v/>
      </c>
      <c r="U8">
        <f>HYPERLINK("https://klasma.github.io/Logging_VASTERVIK/knärot/A 15252-2021.png")</f>
        <v/>
      </c>
      <c r="V8">
        <f>HYPERLINK("https://klasma.github.io/Logging_VASTERVIK/klagomål/A 15252-2021.docx")</f>
        <v/>
      </c>
      <c r="W8">
        <f>HYPERLINK("https://klasma.github.io/Logging_VASTERVIK/klagomålsmail/A 15252-2021.docx")</f>
        <v/>
      </c>
      <c r="X8">
        <f>HYPERLINK("https://klasma.github.io/Logging_VASTERVIK/tillsyn/A 15252-2021.docx")</f>
        <v/>
      </c>
      <c r="Y8">
        <f>HYPERLINK("https://klasma.github.io/Logging_VASTERVIK/tillsynsmail/A 15252-2021.docx")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45171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54178-2019.xlsx")</f>
        <v/>
      </c>
      <c r="T9">
        <f>HYPERLINK("https://klasma.github.io/Logging_VASTERVIK/kartor/A 54178-2019.png")</f>
        <v/>
      </c>
      <c r="U9">
        <f>HYPERLINK("https://klasma.github.io/Logging_VASTERVIK/knärot/A 54178-2019.png")</f>
        <v/>
      </c>
      <c r="V9">
        <f>HYPERLINK("https://klasma.github.io/Logging_VASTERVIK/klagomål/A 54178-2019.docx")</f>
        <v/>
      </c>
      <c r="W9">
        <f>HYPERLINK("https://klasma.github.io/Logging_VASTERVIK/klagomålsmail/A 54178-2019.docx")</f>
        <v/>
      </c>
      <c r="X9">
        <f>HYPERLINK("https://klasma.github.io/Logging_VASTERVIK/tillsyn/A 54178-2019.docx")</f>
        <v/>
      </c>
      <c r="Y9">
        <f>HYPERLINK("https://klasma.github.io/Logging_VASTERVIK/tillsynsmail/A 54178-2019.docx")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45171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16243-2020.xlsx")</f>
        <v/>
      </c>
      <c r="T10">
        <f>HYPERLINK("https://klasma.github.io/Logging_VASTERVIK/kartor/A 16243-2020.png")</f>
        <v/>
      </c>
      <c r="V10">
        <f>HYPERLINK("https://klasma.github.io/Logging_VASTERVIK/klagomål/A 16243-2020.docx")</f>
        <v/>
      </c>
      <c r="W10">
        <f>HYPERLINK("https://klasma.github.io/Logging_VASTERVIK/klagomålsmail/A 16243-2020.docx")</f>
        <v/>
      </c>
      <c r="X10">
        <f>HYPERLINK("https://klasma.github.io/Logging_VASTERVIK/tillsyn/A 16243-2020.docx")</f>
        <v/>
      </c>
      <c r="Y10">
        <f>HYPERLINK("https://klasma.github.io/Logging_VASTERVIK/tillsynsmail/A 16243-2020.docx")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45171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34624-2022.xlsx")</f>
        <v/>
      </c>
      <c r="T11">
        <f>HYPERLINK("https://klasma.github.io/Logging_VASTERVIK/kartor/A 34624-2022.png")</f>
        <v/>
      </c>
      <c r="U11">
        <f>HYPERLINK("https://klasma.github.io/Logging_VASTERVIK/knärot/A 34624-2022.png")</f>
        <v/>
      </c>
      <c r="V11">
        <f>HYPERLINK("https://klasma.github.io/Logging_VASTERVIK/klagomål/A 34624-2022.docx")</f>
        <v/>
      </c>
      <c r="W11">
        <f>HYPERLINK("https://klasma.github.io/Logging_VASTERVIK/klagomålsmail/A 34624-2022.docx")</f>
        <v/>
      </c>
      <c r="X11">
        <f>HYPERLINK("https://klasma.github.io/Logging_VASTERVIK/tillsyn/A 34624-2022.docx")</f>
        <v/>
      </c>
      <c r="Y11">
        <f>HYPERLINK("https://klasma.github.io/Logging_VASTERVIK/tillsynsmail/A 34624-2022.docx")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45171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52916-2020.xlsx")</f>
        <v/>
      </c>
      <c r="T12">
        <f>HYPERLINK("https://klasma.github.io/Logging_VASTERVIK/kartor/A 52916-2020.png")</f>
        <v/>
      </c>
      <c r="U12">
        <f>HYPERLINK("https://klasma.github.io/Logging_VASTERVIK/knärot/A 52916-2020.png")</f>
        <v/>
      </c>
      <c r="V12">
        <f>HYPERLINK("https://klasma.github.io/Logging_VASTERVIK/klagomål/A 52916-2020.docx")</f>
        <v/>
      </c>
      <c r="W12">
        <f>HYPERLINK("https://klasma.github.io/Logging_VASTERVIK/klagomålsmail/A 52916-2020.docx")</f>
        <v/>
      </c>
      <c r="X12">
        <f>HYPERLINK("https://klasma.github.io/Logging_VASTERVIK/tillsyn/A 52916-2020.docx")</f>
        <v/>
      </c>
      <c r="Y12">
        <f>HYPERLINK("https://klasma.github.io/Logging_VASTERVIK/tillsynsmail/A 52916-2020.docx")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45171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53760-2021.xlsx")</f>
        <v/>
      </c>
      <c r="T13">
        <f>HYPERLINK("https://klasma.github.io/Logging_VASTERVIK/kartor/A 53760-2021.png")</f>
        <v/>
      </c>
      <c r="V13">
        <f>HYPERLINK("https://klasma.github.io/Logging_VASTERVIK/klagomål/A 53760-2021.docx")</f>
        <v/>
      </c>
      <c r="W13">
        <f>HYPERLINK("https://klasma.github.io/Logging_VASTERVIK/klagomålsmail/A 53760-2021.docx")</f>
        <v/>
      </c>
      <c r="X13">
        <f>HYPERLINK("https://klasma.github.io/Logging_VASTERVIK/tillsyn/A 53760-2021.docx")</f>
        <v/>
      </c>
      <c r="Y13">
        <f>HYPERLINK("https://klasma.github.io/Logging_VASTERVIK/tillsynsmail/A 53760-2021.docx")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45171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60996-2021.xlsx")</f>
        <v/>
      </c>
      <c r="T14">
        <f>HYPERLINK("https://klasma.github.io/Logging_VASTERVIK/kartor/A 60996-2021.png")</f>
        <v/>
      </c>
      <c r="U14">
        <f>HYPERLINK("https://klasma.github.io/Logging_VASTERVIK/knärot/A 60996-2021.png")</f>
        <v/>
      </c>
      <c r="V14">
        <f>HYPERLINK("https://klasma.github.io/Logging_VASTERVIK/klagomål/A 60996-2021.docx")</f>
        <v/>
      </c>
      <c r="W14">
        <f>HYPERLINK("https://klasma.github.io/Logging_VASTERVIK/klagomålsmail/A 60996-2021.docx")</f>
        <v/>
      </c>
      <c r="X14">
        <f>HYPERLINK("https://klasma.github.io/Logging_VASTERVIK/tillsyn/A 60996-2021.docx")</f>
        <v/>
      </c>
      <c r="Y14">
        <f>HYPERLINK("https://klasma.github.io/Logging_VASTERVIK/tillsynsmail/A 60996-2021.docx")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45171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71188-2021.xlsx")</f>
        <v/>
      </c>
      <c r="T15">
        <f>HYPERLINK("https://klasma.github.io/Logging_VASTERVIK/kartor/A 71188-2021.png")</f>
        <v/>
      </c>
      <c r="V15">
        <f>HYPERLINK("https://klasma.github.io/Logging_VASTERVIK/klagomål/A 71188-2021.docx")</f>
        <v/>
      </c>
      <c r="W15">
        <f>HYPERLINK("https://klasma.github.io/Logging_VASTERVIK/klagomålsmail/A 71188-2021.docx")</f>
        <v/>
      </c>
      <c r="X15">
        <f>HYPERLINK("https://klasma.github.io/Logging_VASTERVIK/tillsyn/A 71188-2021.docx")</f>
        <v/>
      </c>
      <c r="Y15">
        <f>HYPERLINK("https://klasma.github.io/Logging_VASTERVIK/tillsynsmail/A 71188-2021.docx")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45171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974-2023.xlsx")</f>
        <v/>
      </c>
      <c r="T16">
        <f>HYPERLINK("https://klasma.github.io/Logging_VASTERVIK/kartor/A 974-2023.png")</f>
        <v/>
      </c>
      <c r="V16">
        <f>HYPERLINK("https://klasma.github.io/Logging_VASTERVIK/klagomål/A 974-2023.docx")</f>
        <v/>
      </c>
      <c r="W16">
        <f>HYPERLINK("https://klasma.github.io/Logging_VASTERVIK/klagomålsmail/A 974-2023.docx")</f>
        <v/>
      </c>
      <c r="X16">
        <f>HYPERLINK("https://klasma.github.io/Logging_VASTERVIK/tillsyn/A 974-2023.docx")</f>
        <v/>
      </c>
      <c r="Y16">
        <f>HYPERLINK("https://klasma.github.io/Logging_VASTERVIK/tillsynsmail/A 974-2023.docx")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45171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11740-2023.xlsx")</f>
        <v/>
      </c>
      <c r="T17">
        <f>HYPERLINK("https://klasma.github.io/Logging_VASTERVIK/kartor/A 11740-2023.png")</f>
        <v/>
      </c>
      <c r="V17">
        <f>HYPERLINK("https://klasma.github.io/Logging_VASTERVIK/klagomål/A 11740-2023.docx")</f>
        <v/>
      </c>
      <c r="W17">
        <f>HYPERLINK("https://klasma.github.io/Logging_VASTERVIK/klagomålsmail/A 11740-2023.docx")</f>
        <v/>
      </c>
      <c r="X17">
        <f>HYPERLINK("https://klasma.github.io/Logging_VASTERVIK/tillsyn/A 11740-2023.docx")</f>
        <v/>
      </c>
      <c r="Y17">
        <f>HYPERLINK("https://klasma.github.io/Logging_VASTERVIK/tillsynsmail/A 11740-2023.docx")</f>
        <v/>
      </c>
    </row>
    <row r="18" ht="15" customHeight="1">
      <c r="A18" t="inlineStr">
        <is>
          <t>A 63553-2018</t>
        </is>
      </c>
      <c r="B18" s="1" t="n">
        <v>43427</v>
      </c>
      <c r="C18" s="1" t="n">
        <v>45171</v>
      </c>
      <c r="D18" t="inlineStr">
        <is>
          <t>KALMAR LÄN</t>
        </is>
      </c>
      <c r="E18" t="inlineStr">
        <is>
          <t>VÄSTERVIK</t>
        </is>
      </c>
      <c r="F18" t="inlineStr">
        <is>
          <t>Övriga Aktiebolag</t>
        </is>
      </c>
      <c r="G18" t="n">
        <v>6.9</v>
      </c>
      <c r="H18" t="n">
        <v>1</v>
      </c>
      <c r="I18" t="n">
        <v>2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5</v>
      </c>
      <c r="R18" s="2" t="inlineStr">
        <is>
          <t>Ekticka
Lunglav
Blomskägglav
Ekskinn
Blåsippa</t>
        </is>
      </c>
      <c r="S18">
        <f>HYPERLINK("https://klasma.github.io/Logging_VASTERVIK/artfynd/A 63553-2018.xlsx")</f>
        <v/>
      </c>
      <c r="T18">
        <f>HYPERLINK("https://klasma.github.io/Logging_VASTERVIK/kartor/A 63553-2018.png")</f>
        <v/>
      </c>
      <c r="V18">
        <f>HYPERLINK("https://klasma.github.io/Logging_VASTERVIK/klagomål/A 63553-2018.docx")</f>
        <v/>
      </c>
      <c r="W18">
        <f>HYPERLINK("https://klasma.github.io/Logging_VASTERVIK/klagomålsmail/A 63553-2018.docx")</f>
        <v/>
      </c>
      <c r="X18">
        <f>HYPERLINK("https://klasma.github.io/Logging_VASTERVIK/tillsyn/A 63553-2018.docx")</f>
        <v/>
      </c>
      <c r="Y18">
        <f>HYPERLINK("https://klasma.github.io/Logging_VASTERVIK/tillsynsmail/A 63553-2018.docx")</f>
        <v/>
      </c>
    </row>
    <row r="19" ht="15" customHeight="1">
      <c r="A19" t="inlineStr">
        <is>
          <t>A 781-2023</t>
        </is>
      </c>
      <c r="B19" s="1" t="n">
        <v>44931</v>
      </c>
      <c r="C19" s="1" t="n">
        <v>45171</v>
      </c>
      <c r="D19" t="inlineStr">
        <is>
          <t>KALMAR LÄN</t>
        </is>
      </c>
      <c r="E19" t="inlineStr">
        <is>
          <t>VÄSTERVIK</t>
        </is>
      </c>
      <c r="F19" t="inlineStr">
        <is>
          <t>Holmen skog AB</t>
        </is>
      </c>
      <c r="G19" t="n">
        <v>4.3</v>
      </c>
      <c r="H19" t="n">
        <v>0</v>
      </c>
      <c r="I19" t="n">
        <v>3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Oxtungssvamp
Hasselticka
Läderskål
Stor aspticka</t>
        </is>
      </c>
      <c r="S19">
        <f>HYPERLINK("https://klasma.github.io/Logging_VASTERVIK/artfynd/A 781-2023.xlsx")</f>
        <v/>
      </c>
      <c r="T19">
        <f>HYPERLINK("https://klasma.github.io/Logging_VASTERVIK/kartor/A 781-2023.png")</f>
        <v/>
      </c>
      <c r="V19">
        <f>HYPERLINK("https://klasma.github.io/Logging_VASTERVIK/klagomål/A 781-2023.docx")</f>
        <v/>
      </c>
      <c r="W19">
        <f>HYPERLINK("https://klasma.github.io/Logging_VASTERVIK/klagomålsmail/A 781-2023.docx")</f>
        <v/>
      </c>
      <c r="X19">
        <f>HYPERLINK("https://klasma.github.io/Logging_VASTERVIK/tillsyn/A 781-2023.docx")</f>
        <v/>
      </c>
      <c r="Y19">
        <f>HYPERLINK("https://klasma.github.io/Logging_VASTERVIK/tillsynsmail/A 781-2023.docx")</f>
        <v/>
      </c>
    </row>
    <row r="20" ht="15" customHeight="1">
      <c r="A20" t="inlineStr">
        <is>
          <t>A 24863-2023</t>
        </is>
      </c>
      <c r="B20" s="1" t="n">
        <v>45078</v>
      </c>
      <c r="C20" s="1" t="n">
        <v>45171</v>
      </c>
      <c r="D20" t="inlineStr">
        <is>
          <t>KALMAR LÄN</t>
        </is>
      </c>
      <c r="E20" t="inlineStr">
        <is>
          <t>VÄSTERVIK</t>
        </is>
      </c>
      <c r="G20" t="n">
        <v>14.5</v>
      </c>
      <c r="H20" t="n">
        <v>3</v>
      </c>
      <c r="I20" t="n">
        <v>1</v>
      </c>
      <c r="J20" t="n">
        <v>3</v>
      </c>
      <c r="K20" t="n">
        <v>1</v>
      </c>
      <c r="L20" t="n">
        <v>0</v>
      </c>
      <c r="M20" t="n">
        <v>0</v>
      </c>
      <c r="N20" t="n">
        <v>0</v>
      </c>
      <c r="O20" t="n">
        <v>4</v>
      </c>
      <c r="P20" t="n">
        <v>1</v>
      </c>
      <c r="Q20" t="n">
        <v>5</v>
      </c>
      <c r="R20" s="2" t="inlineStr">
        <is>
          <t>Knärot
Entita
Tallticka
Talltita
Svart trolldruva</t>
        </is>
      </c>
      <c r="S20">
        <f>HYPERLINK("https://klasma.github.io/Logging_VASTERVIK/artfynd/A 24863-2023.xlsx")</f>
        <v/>
      </c>
      <c r="T20">
        <f>HYPERLINK("https://klasma.github.io/Logging_VASTERVIK/kartor/A 24863-2023.png")</f>
        <v/>
      </c>
      <c r="U20">
        <f>HYPERLINK("https://klasma.github.io/Logging_VASTERVIK/knärot/A 24863-2023.png")</f>
        <v/>
      </c>
      <c r="V20">
        <f>HYPERLINK("https://klasma.github.io/Logging_VASTERVIK/klagomål/A 24863-2023.docx")</f>
        <v/>
      </c>
      <c r="W20">
        <f>HYPERLINK("https://klasma.github.io/Logging_VASTERVIK/klagomålsmail/A 24863-2023.docx")</f>
        <v/>
      </c>
      <c r="X20">
        <f>HYPERLINK("https://klasma.github.io/Logging_VASTERVIK/tillsyn/A 24863-2023.docx")</f>
        <v/>
      </c>
      <c r="Y20">
        <f>HYPERLINK("https://klasma.github.io/Logging_VASTERVIK/tillsynsmail/A 24863-2023.docx")</f>
        <v/>
      </c>
    </row>
    <row r="21" ht="15" customHeight="1">
      <c r="A21" t="inlineStr">
        <is>
          <t>A 30779-2023</t>
        </is>
      </c>
      <c r="B21" s="1" t="n">
        <v>45112</v>
      </c>
      <c r="C21" s="1" t="n">
        <v>45171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2</v>
      </c>
      <c r="K21" t="n">
        <v>2</v>
      </c>
      <c r="L21" t="n">
        <v>0</v>
      </c>
      <c r="M21" t="n">
        <v>0</v>
      </c>
      <c r="N21" t="n">
        <v>0</v>
      </c>
      <c r="O21" t="n">
        <v>4</v>
      </c>
      <c r="P21" t="n">
        <v>2</v>
      </c>
      <c r="Q21" t="n">
        <v>5</v>
      </c>
      <c r="R21" s="2" t="inlineStr">
        <is>
          <t>Knärot
Sandödla
Tallticka
Talltita
Grönpyrola</t>
        </is>
      </c>
      <c r="S21">
        <f>HYPERLINK("https://klasma.github.io/Logging_VASTERVIK/artfynd/A 30779-2023.xlsx")</f>
        <v/>
      </c>
      <c r="T21">
        <f>HYPERLINK("https://klasma.github.io/Logging_VASTERVIK/kartor/A 30779-2023.png")</f>
        <v/>
      </c>
      <c r="U21">
        <f>HYPERLINK("https://klasma.github.io/Logging_VASTERVIK/knärot/A 30779-2023.png")</f>
        <v/>
      </c>
      <c r="V21">
        <f>HYPERLINK("https://klasma.github.io/Logging_VASTERVIK/klagomål/A 30779-2023.docx")</f>
        <v/>
      </c>
      <c r="W21">
        <f>HYPERLINK("https://klasma.github.io/Logging_VASTERVIK/klagomålsmail/A 30779-2023.docx")</f>
        <v/>
      </c>
      <c r="X21">
        <f>HYPERLINK("https://klasma.github.io/Logging_VASTERVIK/tillsyn/A 30779-2023.docx")</f>
        <v/>
      </c>
      <c r="Y21">
        <f>HYPERLINK("https://klasma.github.io/Logging_VASTERVIK/tillsynsmail/A 30779-2023.docx")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45171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39665-2018.xlsx")</f>
        <v/>
      </c>
      <c r="T22">
        <f>HYPERLINK("https://klasma.github.io/Logging_VASTERVIK/kartor/A 39665-2018.png")</f>
        <v/>
      </c>
      <c r="V22">
        <f>HYPERLINK("https://klasma.github.io/Logging_VASTERVIK/klagomål/A 39665-2018.docx")</f>
        <v/>
      </c>
      <c r="W22">
        <f>HYPERLINK("https://klasma.github.io/Logging_VASTERVIK/klagomålsmail/A 39665-2018.docx")</f>
        <v/>
      </c>
      <c r="X22">
        <f>HYPERLINK("https://klasma.github.io/Logging_VASTERVIK/tillsyn/A 39665-2018.docx")</f>
        <v/>
      </c>
      <c r="Y22">
        <f>HYPERLINK("https://klasma.github.io/Logging_VASTERVIK/tillsynsmail/A 39665-2018.docx")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45171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43862-2019.xlsx")</f>
        <v/>
      </c>
      <c r="T23">
        <f>HYPERLINK("https://klasma.github.io/Logging_VASTERVIK/kartor/A 43862-2019.png")</f>
        <v/>
      </c>
      <c r="U23">
        <f>HYPERLINK("https://klasma.github.io/Logging_VASTERVIK/knärot/A 43862-2019.png")</f>
        <v/>
      </c>
      <c r="V23">
        <f>HYPERLINK("https://klasma.github.io/Logging_VASTERVIK/klagomål/A 43862-2019.docx")</f>
        <v/>
      </c>
      <c r="W23">
        <f>HYPERLINK("https://klasma.github.io/Logging_VASTERVIK/klagomålsmail/A 43862-2019.docx")</f>
        <v/>
      </c>
      <c r="X23">
        <f>HYPERLINK("https://klasma.github.io/Logging_VASTERVIK/tillsyn/A 43862-2019.docx")</f>
        <v/>
      </c>
      <c r="Y23">
        <f>HYPERLINK("https://klasma.github.io/Logging_VASTERVIK/tillsynsmail/A 43862-2019.docx")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45171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3470-2020.xlsx")</f>
        <v/>
      </c>
      <c r="T24">
        <f>HYPERLINK("https://klasma.github.io/Logging_VASTERVIK/kartor/A 3470-2020.png")</f>
        <v/>
      </c>
      <c r="V24">
        <f>HYPERLINK("https://klasma.github.io/Logging_VASTERVIK/klagomål/A 3470-2020.docx")</f>
        <v/>
      </c>
      <c r="W24">
        <f>HYPERLINK("https://klasma.github.io/Logging_VASTERVIK/klagomålsmail/A 3470-2020.docx")</f>
        <v/>
      </c>
      <c r="X24">
        <f>HYPERLINK("https://klasma.github.io/Logging_VASTERVIK/tillsyn/A 3470-2020.docx")</f>
        <v/>
      </c>
      <c r="Y24">
        <f>HYPERLINK("https://klasma.github.io/Logging_VASTERVIK/tillsynsmail/A 3470-2020.docx")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45171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15978-2020.xlsx")</f>
        <v/>
      </c>
      <c r="T25">
        <f>HYPERLINK("https://klasma.github.io/Logging_VASTERVIK/kartor/A 15978-2020.png")</f>
        <v/>
      </c>
      <c r="U25">
        <f>HYPERLINK("https://klasma.github.io/Logging_VASTERVIK/knärot/A 15978-2020.png")</f>
        <v/>
      </c>
      <c r="V25">
        <f>HYPERLINK("https://klasma.github.io/Logging_VASTERVIK/klagomål/A 15978-2020.docx")</f>
        <v/>
      </c>
      <c r="W25">
        <f>HYPERLINK("https://klasma.github.io/Logging_VASTERVIK/klagomålsmail/A 15978-2020.docx")</f>
        <v/>
      </c>
      <c r="X25">
        <f>HYPERLINK("https://klasma.github.io/Logging_VASTERVIK/tillsyn/A 15978-2020.docx")</f>
        <v/>
      </c>
      <c r="Y25">
        <f>HYPERLINK("https://klasma.github.io/Logging_VASTERVIK/tillsynsmail/A 15978-2020.docx")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45171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55017-2021.xlsx")</f>
        <v/>
      </c>
      <c r="T26">
        <f>HYPERLINK("https://klasma.github.io/Logging_VASTERVIK/kartor/A 55017-2021.png")</f>
        <v/>
      </c>
      <c r="U26">
        <f>HYPERLINK("https://klasma.github.io/Logging_VASTERVIK/knärot/A 55017-2021.png")</f>
        <v/>
      </c>
      <c r="V26">
        <f>HYPERLINK("https://klasma.github.io/Logging_VASTERVIK/klagomål/A 55017-2021.docx")</f>
        <v/>
      </c>
      <c r="W26">
        <f>HYPERLINK("https://klasma.github.io/Logging_VASTERVIK/klagomålsmail/A 55017-2021.docx")</f>
        <v/>
      </c>
      <c r="X26">
        <f>HYPERLINK("https://klasma.github.io/Logging_VASTERVIK/tillsyn/A 55017-2021.docx")</f>
        <v/>
      </c>
      <c r="Y26">
        <f>HYPERLINK("https://klasma.github.io/Logging_VASTERVIK/tillsynsmail/A 55017-2021.docx")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45171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63850-2021.xlsx")</f>
        <v/>
      </c>
      <c r="T27">
        <f>HYPERLINK("https://klasma.github.io/Logging_VASTERVIK/kartor/A 63850-2021.png")</f>
        <v/>
      </c>
      <c r="U27">
        <f>HYPERLINK("https://klasma.github.io/Logging_VASTERVIK/knärot/A 63850-2021.png")</f>
        <v/>
      </c>
      <c r="V27">
        <f>HYPERLINK("https://klasma.github.io/Logging_VASTERVIK/klagomål/A 63850-2021.docx")</f>
        <v/>
      </c>
      <c r="W27">
        <f>HYPERLINK("https://klasma.github.io/Logging_VASTERVIK/klagomålsmail/A 63850-2021.docx")</f>
        <v/>
      </c>
      <c r="X27">
        <f>HYPERLINK("https://klasma.github.io/Logging_VASTERVIK/tillsyn/A 63850-2021.docx")</f>
        <v/>
      </c>
      <c r="Y27">
        <f>HYPERLINK("https://klasma.github.io/Logging_VASTERVIK/tillsynsmail/A 63850-2021.docx")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45171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51923-2022.xlsx")</f>
        <v/>
      </c>
      <c r="T28">
        <f>HYPERLINK("https://klasma.github.io/Logging_VASTERVIK/kartor/A 51923-2022.png")</f>
        <v/>
      </c>
      <c r="V28">
        <f>HYPERLINK("https://klasma.github.io/Logging_VASTERVIK/klagomål/A 51923-2022.docx")</f>
        <v/>
      </c>
      <c r="W28">
        <f>HYPERLINK("https://klasma.github.io/Logging_VASTERVIK/klagomålsmail/A 51923-2022.docx")</f>
        <v/>
      </c>
      <c r="X28">
        <f>HYPERLINK("https://klasma.github.io/Logging_VASTERVIK/tillsyn/A 51923-2022.docx")</f>
        <v/>
      </c>
      <c r="Y28">
        <f>HYPERLINK("https://klasma.github.io/Logging_VASTERVIK/tillsynsmail/A 51923-2022.docx")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45171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9097-2021.xlsx")</f>
        <v/>
      </c>
      <c r="T29">
        <f>HYPERLINK("https://klasma.github.io/Logging_VASTERVIK/kartor/A 9097-2021.png")</f>
        <v/>
      </c>
      <c r="V29">
        <f>HYPERLINK("https://klasma.github.io/Logging_VASTERVIK/klagomål/A 9097-2021.docx")</f>
        <v/>
      </c>
      <c r="W29">
        <f>HYPERLINK("https://klasma.github.io/Logging_VASTERVIK/klagomålsmail/A 9097-2021.docx")</f>
        <v/>
      </c>
      <c r="X29">
        <f>HYPERLINK("https://klasma.github.io/Logging_VASTERVIK/tillsyn/A 9097-2021.docx")</f>
        <v/>
      </c>
      <c r="Y29">
        <f>HYPERLINK("https://klasma.github.io/Logging_VASTERVIK/tillsynsmail/A 9097-2021.docx")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45171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25280-2021.xlsx")</f>
        <v/>
      </c>
      <c r="T30">
        <f>HYPERLINK("https://klasma.github.io/Logging_VASTERVIK/kartor/A 25280-2021.png")</f>
        <v/>
      </c>
      <c r="U30">
        <f>HYPERLINK("https://klasma.github.io/Logging_VASTERVIK/knärot/A 25280-2021.png")</f>
        <v/>
      </c>
      <c r="V30">
        <f>HYPERLINK("https://klasma.github.io/Logging_VASTERVIK/klagomål/A 25280-2021.docx")</f>
        <v/>
      </c>
      <c r="W30">
        <f>HYPERLINK("https://klasma.github.io/Logging_VASTERVIK/klagomålsmail/A 25280-2021.docx")</f>
        <v/>
      </c>
      <c r="X30">
        <f>HYPERLINK("https://klasma.github.io/Logging_VASTERVIK/tillsyn/A 25280-2021.docx")</f>
        <v/>
      </c>
      <c r="Y30">
        <f>HYPERLINK("https://klasma.github.io/Logging_VASTERVIK/tillsynsmail/A 25280-2021.docx")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45171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63813-2021.xlsx")</f>
        <v/>
      </c>
      <c r="T31">
        <f>HYPERLINK("https://klasma.github.io/Logging_VASTERVIK/kartor/A 63813-2021.png")</f>
        <v/>
      </c>
      <c r="U31">
        <f>HYPERLINK("https://klasma.github.io/Logging_VASTERVIK/knärot/A 63813-2021.png")</f>
        <v/>
      </c>
      <c r="V31">
        <f>HYPERLINK("https://klasma.github.io/Logging_VASTERVIK/klagomål/A 63813-2021.docx")</f>
        <v/>
      </c>
      <c r="W31">
        <f>HYPERLINK("https://klasma.github.io/Logging_VASTERVIK/klagomålsmail/A 63813-2021.docx")</f>
        <v/>
      </c>
      <c r="X31">
        <f>HYPERLINK("https://klasma.github.io/Logging_VASTERVIK/tillsyn/A 63813-2021.docx")</f>
        <v/>
      </c>
      <c r="Y31">
        <f>HYPERLINK("https://klasma.github.io/Logging_VASTERVIK/tillsynsmail/A 63813-2021.docx")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45171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68416-2021.xlsx")</f>
        <v/>
      </c>
      <c r="T32">
        <f>HYPERLINK("https://klasma.github.io/Logging_VASTERVIK/kartor/A 68416-2021.png")</f>
        <v/>
      </c>
      <c r="U32">
        <f>HYPERLINK("https://klasma.github.io/Logging_VASTERVIK/knärot/A 68416-2021.png")</f>
        <v/>
      </c>
      <c r="V32">
        <f>HYPERLINK("https://klasma.github.io/Logging_VASTERVIK/klagomål/A 68416-2021.docx")</f>
        <v/>
      </c>
      <c r="W32">
        <f>HYPERLINK("https://klasma.github.io/Logging_VASTERVIK/klagomålsmail/A 68416-2021.docx")</f>
        <v/>
      </c>
      <c r="X32">
        <f>HYPERLINK("https://klasma.github.io/Logging_VASTERVIK/tillsyn/A 68416-2021.docx")</f>
        <v/>
      </c>
      <c r="Y32">
        <f>HYPERLINK("https://klasma.github.io/Logging_VASTERVIK/tillsynsmail/A 68416-2021.docx")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45171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55506-2022.xlsx")</f>
        <v/>
      </c>
      <c r="T33">
        <f>HYPERLINK("https://klasma.github.io/Logging_VASTERVIK/kartor/A 55506-2022.png")</f>
        <v/>
      </c>
      <c r="V33">
        <f>HYPERLINK("https://klasma.github.io/Logging_VASTERVIK/klagomål/A 55506-2022.docx")</f>
        <v/>
      </c>
      <c r="W33">
        <f>HYPERLINK("https://klasma.github.io/Logging_VASTERVIK/klagomålsmail/A 55506-2022.docx")</f>
        <v/>
      </c>
      <c r="X33">
        <f>HYPERLINK("https://klasma.github.io/Logging_VASTERVIK/tillsyn/A 55506-2022.docx")</f>
        <v/>
      </c>
      <c r="Y33">
        <f>HYPERLINK("https://klasma.github.io/Logging_VASTERVIK/tillsynsmail/A 55506-2022.docx")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45171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58955-2022.xlsx")</f>
        <v/>
      </c>
      <c r="T34">
        <f>HYPERLINK("https://klasma.github.io/Logging_VASTERVIK/kartor/A 58955-2022.png")</f>
        <v/>
      </c>
      <c r="U34">
        <f>HYPERLINK("https://klasma.github.io/Logging_VASTERVIK/knärot/A 58955-2022.png")</f>
        <v/>
      </c>
      <c r="V34">
        <f>HYPERLINK("https://klasma.github.io/Logging_VASTERVIK/klagomål/A 58955-2022.docx")</f>
        <v/>
      </c>
      <c r="W34">
        <f>HYPERLINK("https://klasma.github.io/Logging_VASTERVIK/klagomålsmail/A 58955-2022.docx")</f>
        <v/>
      </c>
      <c r="X34">
        <f>HYPERLINK("https://klasma.github.io/Logging_VASTERVIK/tillsyn/A 58955-2022.docx")</f>
        <v/>
      </c>
      <c r="Y34">
        <f>HYPERLINK("https://klasma.github.io/Logging_VASTERVIK/tillsynsmail/A 58955-2022.docx")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45171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12708-2023.xlsx")</f>
        <v/>
      </c>
      <c r="T35">
        <f>HYPERLINK("https://klasma.github.io/Logging_VASTERVIK/kartor/A 12708-2023.png")</f>
        <v/>
      </c>
      <c r="U35">
        <f>HYPERLINK("https://klasma.github.io/Logging_VASTERVIK/knärot/A 12708-2023.png")</f>
        <v/>
      </c>
      <c r="V35">
        <f>HYPERLINK("https://klasma.github.io/Logging_VASTERVIK/klagomål/A 12708-2023.docx")</f>
        <v/>
      </c>
      <c r="W35">
        <f>HYPERLINK("https://klasma.github.io/Logging_VASTERVIK/klagomålsmail/A 12708-2023.docx")</f>
        <v/>
      </c>
      <c r="X35">
        <f>HYPERLINK("https://klasma.github.io/Logging_VASTERVIK/tillsyn/A 12708-2023.docx")</f>
        <v/>
      </c>
      <c r="Y35">
        <f>HYPERLINK("https://klasma.github.io/Logging_VASTERVIK/tillsynsmail/A 12708-2023.docx")</f>
        <v/>
      </c>
    </row>
    <row r="36" ht="15" customHeight="1">
      <c r="A36" t="inlineStr">
        <is>
          <t>A 35376-2018</t>
        </is>
      </c>
      <c r="B36" s="1" t="n">
        <v>43325</v>
      </c>
      <c r="C36" s="1" t="n">
        <v>45171</v>
      </c>
      <c r="D36" t="inlineStr">
        <is>
          <t>KALMAR LÄN</t>
        </is>
      </c>
      <c r="E36" t="inlineStr">
        <is>
          <t>VÄSTERVIK</t>
        </is>
      </c>
      <c r="F36" t="inlineStr">
        <is>
          <t>Sveaskog</t>
        </is>
      </c>
      <c r="G36" t="n">
        <v>4.2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Barbastell
Nordfladdermus</t>
        </is>
      </c>
      <c r="S36">
        <f>HYPERLINK("https://klasma.github.io/Logging_VASTERVIK/artfynd/A 35376-2018.xlsx")</f>
        <v/>
      </c>
      <c r="T36">
        <f>HYPERLINK("https://klasma.github.io/Logging_VASTERVIK/kartor/A 35376-2018.png")</f>
        <v/>
      </c>
      <c r="V36">
        <f>HYPERLINK("https://klasma.github.io/Logging_VASTERVIK/klagomål/A 35376-2018.docx")</f>
        <v/>
      </c>
      <c r="W36">
        <f>HYPERLINK("https://klasma.github.io/Logging_VASTERVIK/klagomålsmail/A 35376-2018.docx")</f>
        <v/>
      </c>
      <c r="X36">
        <f>HYPERLINK("https://klasma.github.io/Logging_VASTERVIK/tillsyn/A 35376-2018.docx")</f>
        <v/>
      </c>
      <c r="Y36">
        <f>HYPERLINK("https://klasma.github.io/Logging_VASTERVIK/tillsynsmail/A 35376-2018.docx")</f>
        <v/>
      </c>
    </row>
    <row r="37" ht="15" customHeight="1">
      <c r="A37" t="inlineStr">
        <is>
          <t>A 64053-2018</t>
        </is>
      </c>
      <c r="B37" s="1" t="n">
        <v>43418</v>
      </c>
      <c r="C37" s="1" t="n">
        <v>45171</v>
      </c>
      <c r="D37" t="inlineStr">
        <is>
          <t>KALMAR LÄN</t>
        </is>
      </c>
      <c r="E37" t="inlineStr">
        <is>
          <t>VÄSTERVIK</t>
        </is>
      </c>
      <c r="G37" t="n">
        <v>3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Tallticka
Blåmossa</t>
        </is>
      </c>
      <c r="S37">
        <f>HYPERLINK("https://klasma.github.io/Logging_VASTERVIK/artfynd/A 64053-2018.xlsx")</f>
        <v/>
      </c>
      <c r="T37">
        <f>HYPERLINK("https://klasma.github.io/Logging_VASTERVIK/kartor/A 64053-2018.png")</f>
        <v/>
      </c>
      <c r="V37">
        <f>HYPERLINK("https://klasma.github.io/Logging_VASTERVIK/klagomål/A 64053-2018.docx")</f>
        <v/>
      </c>
      <c r="W37">
        <f>HYPERLINK("https://klasma.github.io/Logging_VASTERVIK/klagomålsmail/A 64053-2018.docx")</f>
        <v/>
      </c>
      <c r="X37">
        <f>HYPERLINK("https://klasma.github.io/Logging_VASTERVIK/tillsyn/A 64053-2018.docx")</f>
        <v/>
      </c>
      <c r="Y37">
        <f>HYPERLINK("https://klasma.github.io/Logging_VASTERVIK/tillsynsmail/A 64053-2018.docx")</f>
        <v/>
      </c>
    </row>
    <row r="38" ht="15" customHeight="1">
      <c r="A38" t="inlineStr">
        <is>
          <t>A 7907-2019</t>
        </is>
      </c>
      <c r="B38" s="1" t="n">
        <v>43500</v>
      </c>
      <c r="C38" s="1" t="n">
        <v>45171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2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Grov fjädermossa
Platt fjädermossa</t>
        </is>
      </c>
      <c r="S38">
        <f>HYPERLINK("https://klasma.github.io/Logging_VASTERVIK/artfynd/A 7907-2019.xlsx")</f>
        <v/>
      </c>
      <c r="T38">
        <f>HYPERLINK("https://klasma.github.io/Logging_VASTERVIK/kartor/A 7907-2019.png")</f>
        <v/>
      </c>
      <c r="V38">
        <f>HYPERLINK("https://klasma.github.io/Logging_VASTERVIK/klagomål/A 7907-2019.docx")</f>
        <v/>
      </c>
      <c r="W38">
        <f>HYPERLINK("https://klasma.github.io/Logging_VASTERVIK/klagomålsmail/A 7907-2019.docx")</f>
        <v/>
      </c>
      <c r="X38">
        <f>HYPERLINK("https://klasma.github.io/Logging_VASTERVIK/tillsyn/A 7907-2019.docx")</f>
        <v/>
      </c>
      <c r="Y38">
        <f>HYPERLINK("https://klasma.github.io/Logging_VASTERVIK/tillsynsmail/A 7907-2019.docx")</f>
        <v/>
      </c>
    </row>
    <row r="39" ht="15" customHeight="1">
      <c r="A39" t="inlineStr">
        <is>
          <t>A 62128-2019</t>
        </is>
      </c>
      <c r="B39" s="1" t="n">
        <v>43782</v>
      </c>
      <c r="C39" s="1" t="n">
        <v>45171</v>
      </c>
      <c r="D39" t="inlineStr">
        <is>
          <t>KALMAR LÄN</t>
        </is>
      </c>
      <c r="E39" t="inlineStr">
        <is>
          <t>VÄSTERVIK</t>
        </is>
      </c>
      <c r="G39" t="n">
        <v>7.5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Ullticka
Kattfotslav</t>
        </is>
      </c>
      <c r="S39">
        <f>HYPERLINK("https://klasma.github.io/Logging_VASTERVIK/artfynd/A 62128-2019.xlsx")</f>
        <v/>
      </c>
      <c r="T39">
        <f>HYPERLINK("https://klasma.github.io/Logging_VASTERVIK/kartor/A 62128-2019.png")</f>
        <v/>
      </c>
      <c r="V39">
        <f>HYPERLINK("https://klasma.github.io/Logging_VASTERVIK/klagomål/A 62128-2019.docx")</f>
        <v/>
      </c>
      <c r="W39">
        <f>HYPERLINK("https://klasma.github.io/Logging_VASTERVIK/klagomålsmail/A 62128-2019.docx")</f>
        <v/>
      </c>
      <c r="X39">
        <f>HYPERLINK("https://klasma.github.io/Logging_VASTERVIK/tillsyn/A 62128-2019.docx")</f>
        <v/>
      </c>
      <c r="Y39">
        <f>HYPERLINK("https://klasma.github.io/Logging_VASTERVIK/tillsynsmail/A 62128-2019.docx")</f>
        <v/>
      </c>
    </row>
    <row r="40" ht="15" customHeight="1">
      <c r="A40" t="inlineStr">
        <is>
          <t>A 1955-2021</t>
        </is>
      </c>
      <c r="B40" s="1" t="n">
        <v>44210</v>
      </c>
      <c r="C40" s="1" t="n">
        <v>45171</v>
      </c>
      <c r="D40" t="inlineStr">
        <is>
          <t>KALMAR LÄN</t>
        </is>
      </c>
      <c r="E40" t="inlineStr">
        <is>
          <t>VÄSTERVIK</t>
        </is>
      </c>
      <c r="G40" t="n">
        <v>5.3</v>
      </c>
      <c r="H40" t="n">
        <v>2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Talltita</t>
        </is>
      </c>
      <c r="S40">
        <f>HYPERLINK("https://klasma.github.io/Logging_VASTERVIK/artfynd/A 1955-2021.xlsx")</f>
        <v/>
      </c>
      <c r="T40">
        <f>HYPERLINK("https://klasma.github.io/Logging_VASTERVIK/kartor/A 1955-2021.png")</f>
        <v/>
      </c>
      <c r="V40">
        <f>HYPERLINK("https://klasma.github.io/Logging_VASTERVIK/klagomål/A 1955-2021.docx")</f>
        <v/>
      </c>
      <c r="W40">
        <f>HYPERLINK("https://klasma.github.io/Logging_VASTERVIK/klagomålsmail/A 1955-2021.docx")</f>
        <v/>
      </c>
      <c r="X40">
        <f>HYPERLINK("https://klasma.github.io/Logging_VASTERVIK/tillsyn/A 1955-2021.docx")</f>
        <v/>
      </c>
      <c r="Y40">
        <f>HYPERLINK("https://klasma.github.io/Logging_VASTERVIK/tillsynsmail/A 1955-2021.docx")</f>
        <v/>
      </c>
    </row>
    <row r="41" ht="15" customHeight="1">
      <c r="A41" t="inlineStr">
        <is>
          <t>A 21665-2021</t>
        </is>
      </c>
      <c r="B41" s="1" t="n">
        <v>44322</v>
      </c>
      <c r="C41" s="1" t="n">
        <v>45171</v>
      </c>
      <c r="D41" t="inlineStr">
        <is>
          <t>KALMAR LÄN</t>
        </is>
      </c>
      <c r="E41" t="inlineStr">
        <is>
          <t>VÄSTERVIK</t>
        </is>
      </c>
      <c r="G41" t="n">
        <v>18.9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Klubbsprötad bastardsvärmare
Smalsprötad bastardsvärmare</t>
        </is>
      </c>
      <c r="S41">
        <f>HYPERLINK("https://klasma.github.io/Logging_VASTERVIK/artfynd/A 21665-2021.xlsx")</f>
        <v/>
      </c>
      <c r="T41">
        <f>HYPERLINK("https://klasma.github.io/Logging_VASTERVIK/kartor/A 21665-2021.png")</f>
        <v/>
      </c>
      <c r="V41">
        <f>HYPERLINK("https://klasma.github.io/Logging_VASTERVIK/klagomål/A 21665-2021.docx")</f>
        <v/>
      </c>
      <c r="W41">
        <f>HYPERLINK("https://klasma.github.io/Logging_VASTERVIK/klagomålsmail/A 21665-2021.docx")</f>
        <v/>
      </c>
      <c r="X41">
        <f>HYPERLINK("https://klasma.github.io/Logging_VASTERVIK/tillsyn/A 21665-2021.docx")</f>
        <v/>
      </c>
      <c r="Y41">
        <f>HYPERLINK("https://klasma.github.io/Logging_VASTERVIK/tillsynsmail/A 21665-2021.docx")</f>
        <v/>
      </c>
    </row>
    <row r="42" ht="15" customHeight="1">
      <c r="A42" t="inlineStr">
        <is>
          <t>A 44667-2021</t>
        </is>
      </c>
      <c r="B42" s="1" t="n">
        <v>44438</v>
      </c>
      <c r="C42" s="1" t="n">
        <v>45171</v>
      </c>
      <c r="D42" t="inlineStr">
        <is>
          <t>KALMAR LÄN</t>
        </is>
      </c>
      <c r="E42" t="inlineStr">
        <is>
          <t>VÄSTERVIK</t>
        </is>
      </c>
      <c r="G42" t="n">
        <v>1.7</v>
      </c>
      <c r="H42" t="n">
        <v>1</v>
      </c>
      <c r="I42" t="n">
        <v>1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2</v>
      </c>
      <c r="R42" s="2" t="inlineStr">
        <is>
          <t>Järpe
Fjällig taggsvamp s.str.</t>
        </is>
      </c>
      <c r="S42">
        <f>HYPERLINK("https://klasma.github.io/Logging_VASTERVIK/artfynd/A 44667-2021.xlsx")</f>
        <v/>
      </c>
      <c r="T42">
        <f>HYPERLINK("https://klasma.github.io/Logging_VASTERVIK/kartor/A 44667-2021.png")</f>
        <v/>
      </c>
      <c r="V42">
        <f>HYPERLINK("https://klasma.github.io/Logging_VASTERVIK/klagomål/A 44667-2021.docx")</f>
        <v/>
      </c>
      <c r="W42">
        <f>HYPERLINK("https://klasma.github.io/Logging_VASTERVIK/klagomålsmail/A 44667-2021.docx")</f>
        <v/>
      </c>
      <c r="X42">
        <f>HYPERLINK("https://klasma.github.io/Logging_VASTERVIK/tillsyn/A 44667-2021.docx")</f>
        <v/>
      </c>
      <c r="Y42">
        <f>HYPERLINK("https://klasma.github.io/Logging_VASTERVIK/tillsynsmail/A 44667-2021.docx")</f>
        <v/>
      </c>
    </row>
    <row r="43" ht="15" customHeight="1">
      <c r="A43" t="inlineStr">
        <is>
          <t>A 51833-2021</t>
        </is>
      </c>
      <c r="B43" s="1" t="n">
        <v>44462</v>
      </c>
      <c r="C43" s="1" t="n">
        <v>45171</v>
      </c>
      <c r="D43" t="inlineStr">
        <is>
          <t>KALMAR LÄN</t>
        </is>
      </c>
      <c r="E43" t="inlineStr">
        <is>
          <t>VÄSTERVIK</t>
        </is>
      </c>
      <c r="G43" t="n">
        <v>4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2</v>
      </c>
      <c r="R43" s="2" t="inlineStr">
        <is>
          <t>Motaggsvamp
Fläcknycklar</t>
        </is>
      </c>
      <c r="S43">
        <f>HYPERLINK("https://klasma.github.io/Logging_VASTERVIK/artfynd/A 51833-2021.xlsx")</f>
        <v/>
      </c>
      <c r="T43">
        <f>HYPERLINK("https://klasma.github.io/Logging_VASTERVIK/kartor/A 51833-2021.png")</f>
        <v/>
      </c>
      <c r="V43">
        <f>HYPERLINK("https://klasma.github.io/Logging_VASTERVIK/klagomål/A 51833-2021.docx")</f>
        <v/>
      </c>
      <c r="W43">
        <f>HYPERLINK("https://klasma.github.io/Logging_VASTERVIK/klagomålsmail/A 51833-2021.docx")</f>
        <v/>
      </c>
      <c r="X43">
        <f>HYPERLINK("https://klasma.github.io/Logging_VASTERVIK/tillsyn/A 51833-2021.docx")</f>
        <v/>
      </c>
      <c r="Y43">
        <f>HYPERLINK("https://klasma.github.io/Logging_VASTERVIK/tillsynsmail/A 51833-2021.docx")</f>
        <v/>
      </c>
    </row>
    <row r="44" ht="15" customHeight="1">
      <c r="A44" t="inlineStr">
        <is>
          <t>A 53769-2021</t>
        </is>
      </c>
      <c r="B44" s="1" t="n">
        <v>44467</v>
      </c>
      <c r="C44" s="1" t="n">
        <v>45171</v>
      </c>
      <c r="D44" t="inlineStr">
        <is>
          <t>KALMAR LÄN</t>
        </is>
      </c>
      <c r="E44" t="inlineStr">
        <is>
          <t>VÄSTERVIK</t>
        </is>
      </c>
      <c r="G44" t="n">
        <v>2.2</v>
      </c>
      <c r="H44" t="n">
        <v>1</v>
      </c>
      <c r="I44" t="n">
        <v>2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2</v>
      </c>
      <c r="R44" s="2" t="inlineStr">
        <is>
          <t>Grön sköldmossa
Stubbspretmossa</t>
        </is>
      </c>
      <c r="S44">
        <f>HYPERLINK("https://klasma.github.io/Logging_VASTERVIK/artfynd/A 53769-2021.xlsx")</f>
        <v/>
      </c>
      <c r="T44">
        <f>HYPERLINK("https://klasma.github.io/Logging_VASTERVIK/kartor/A 53769-2021.png")</f>
        <v/>
      </c>
      <c r="V44">
        <f>HYPERLINK("https://klasma.github.io/Logging_VASTERVIK/klagomål/A 53769-2021.docx")</f>
        <v/>
      </c>
      <c r="W44">
        <f>HYPERLINK("https://klasma.github.io/Logging_VASTERVIK/klagomålsmail/A 53769-2021.docx")</f>
        <v/>
      </c>
      <c r="X44">
        <f>HYPERLINK("https://klasma.github.io/Logging_VASTERVIK/tillsyn/A 53769-2021.docx")</f>
        <v/>
      </c>
      <c r="Y44">
        <f>HYPERLINK("https://klasma.github.io/Logging_VASTERVIK/tillsynsmail/A 53769-2021.docx")</f>
        <v/>
      </c>
    </row>
    <row r="45" ht="15" customHeight="1">
      <c r="A45" t="inlineStr">
        <is>
          <t>A 56616-2021</t>
        </is>
      </c>
      <c r="B45" s="1" t="n">
        <v>44480</v>
      </c>
      <c r="C45" s="1" t="n">
        <v>45171</v>
      </c>
      <c r="D45" t="inlineStr">
        <is>
          <t>KALMAR LÄN</t>
        </is>
      </c>
      <c r="E45" t="inlineStr">
        <is>
          <t>VÄSTERVIK</t>
        </is>
      </c>
      <c r="G45" t="n">
        <v>0.7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Gullklöver
Vippärt</t>
        </is>
      </c>
      <c r="S45">
        <f>HYPERLINK("https://klasma.github.io/Logging_VASTERVIK/artfynd/A 56616-2021.xlsx")</f>
        <v/>
      </c>
      <c r="T45">
        <f>HYPERLINK("https://klasma.github.io/Logging_VASTERVIK/kartor/A 56616-2021.png")</f>
        <v/>
      </c>
      <c r="V45">
        <f>HYPERLINK("https://klasma.github.io/Logging_VASTERVIK/klagomål/A 56616-2021.docx")</f>
        <v/>
      </c>
      <c r="W45">
        <f>HYPERLINK("https://klasma.github.io/Logging_VASTERVIK/klagomålsmail/A 56616-2021.docx")</f>
        <v/>
      </c>
      <c r="X45">
        <f>HYPERLINK("https://klasma.github.io/Logging_VASTERVIK/tillsyn/A 56616-2021.docx")</f>
        <v/>
      </c>
      <c r="Y45">
        <f>HYPERLINK("https://klasma.github.io/Logging_VASTERVIK/tillsynsmail/A 56616-2021.docx")</f>
        <v/>
      </c>
    </row>
    <row r="46" ht="15" customHeight="1">
      <c r="A46" t="inlineStr">
        <is>
          <t>A 59940-2021</t>
        </is>
      </c>
      <c r="B46" s="1" t="n">
        <v>44494</v>
      </c>
      <c r="C46" s="1" t="n">
        <v>45171</v>
      </c>
      <c r="D46" t="inlineStr">
        <is>
          <t>KALMAR LÄN</t>
        </is>
      </c>
      <c r="E46" t="inlineStr">
        <is>
          <t>VÄSTERVIK</t>
        </is>
      </c>
      <c r="G46" t="n">
        <v>4.3</v>
      </c>
      <c r="H46" t="n">
        <v>1</v>
      </c>
      <c r="I46" t="n">
        <v>1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2</v>
      </c>
      <c r="R46" s="2" t="inlineStr">
        <is>
          <t>Knärot
Grönpyrola</t>
        </is>
      </c>
      <c r="S46">
        <f>HYPERLINK("https://klasma.github.io/Logging_VASTERVIK/artfynd/A 59940-2021.xlsx")</f>
        <v/>
      </c>
      <c r="T46">
        <f>HYPERLINK("https://klasma.github.io/Logging_VASTERVIK/kartor/A 59940-2021.png")</f>
        <v/>
      </c>
      <c r="U46">
        <f>HYPERLINK("https://klasma.github.io/Logging_VASTERVIK/knärot/A 59940-2021.png")</f>
        <v/>
      </c>
      <c r="V46">
        <f>HYPERLINK("https://klasma.github.io/Logging_VASTERVIK/klagomål/A 59940-2021.docx")</f>
        <v/>
      </c>
      <c r="W46">
        <f>HYPERLINK("https://klasma.github.io/Logging_VASTERVIK/klagomålsmail/A 59940-2021.docx")</f>
        <v/>
      </c>
      <c r="X46">
        <f>HYPERLINK("https://klasma.github.io/Logging_VASTERVIK/tillsyn/A 59940-2021.docx")</f>
        <v/>
      </c>
      <c r="Y46">
        <f>HYPERLINK("https://klasma.github.io/Logging_VASTERVIK/tillsynsmail/A 59940-2021.docx")</f>
        <v/>
      </c>
    </row>
    <row r="47" ht="15" customHeight="1">
      <c r="A47" t="inlineStr">
        <is>
          <t>A 14927-2022</t>
        </is>
      </c>
      <c r="B47" s="1" t="n">
        <v>44657</v>
      </c>
      <c r="C47" s="1" t="n">
        <v>45171</v>
      </c>
      <c r="D47" t="inlineStr">
        <is>
          <t>KALMAR LÄN</t>
        </is>
      </c>
      <c r="E47" t="inlineStr">
        <is>
          <t>VÄSTERVIK</t>
        </is>
      </c>
      <c r="F47" t="inlineStr">
        <is>
          <t>Holmen skog AB</t>
        </is>
      </c>
      <c r="G47" t="n">
        <v>1.1</v>
      </c>
      <c r="H47" t="n">
        <v>2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2</v>
      </c>
      <c r="R47" s="2" t="inlineStr">
        <is>
          <t>Ekoxe
Revlummer</t>
        </is>
      </c>
      <c r="S47">
        <f>HYPERLINK("https://klasma.github.io/Logging_VASTERVIK/artfynd/A 14927-2022.xlsx")</f>
        <v/>
      </c>
      <c r="T47">
        <f>HYPERLINK("https://klasma.github.io/Logging_VASTERVIK/kartor/A 14927-2022.png")</f>
        <v/>
      </c>
      <c r="V47">
        <f>HYPERLINK("https://klasma.github.io/Logging_VASTERVIK/klagomål/A 14927-2022.docx")</f>
        <v/>
      </c>
      <c r="W47">
        <f>HYPERLINK("https://klasma.github.io/Logging_VASTERVIK/klagomålsmail/A 14927-2022.docx")</f>
        <v/>
      </c>
      <c r="X47">
        <f>HYPERLINK("https://klasma.github.io/Logging_VASTERVIK/tillsyn/A 14927-2022.docx")</f>
        <v/>
      </c>
      <c r="Y47">
        <f>HYPERLINK("https://klasma.github.io/Logging_VASTERVIK/tillsynsmail/A 14927-2022.docx")</f>
        <v/>
      </c>
    </row>
    <row r="48" ht="15" customHeight="1">
      <c r="A48" t="inlineStr">
        <is>
          <t>A 25145-2022</t>
        </is>
      </c>
      <c r="B48" s="1" t="n">
        <v>44729</v>
      </c>
      <c r="C48" s="1" t="n">
        <v>45171</v>
      </c>
      <c r="D48" t="inlineStr">
        <is>
          <t>KALMAR LÄN</t>
        </is>
      </c>
      <c r="E48" t="inlineStr">
        <is>
          <t>VÄSTERVIK</t>
        </is>
      </c>
      <c r="G48" t="n">
        <v>1.3</v>
      </c>
      <c r="H48" t="n">
        <v>1</v>
      </c>
      <c r="I48" t="n">
        <v>0</v>
      </c>
      <c r="J48" t="n">
        <v>1</v>
      </c>
      <c r="K48" t="n">
        <v>1</v>
      </c>
      <c r="L48" t="n">
        <v>0</v>
      </c>
      <c r="M48" t="n">
        <v>0</v>
      </c>
      <c r="N48" t="n">
        <v>0</v>
      </c>
      <c r="O48" t="n">
        <v>2</v>
      </c>
      <c r="P48" t="n">
        <v>1</v>
      </c>
      <c r="Q48" t="n">
        <v>2</v>
      </c>
      <c r="R48" s="2" t="inlineStr">
        <is>
          <t>Knärot
Tallticka</t>
        </is>
      </c>
      <c r="S48">
        <f>HYPERLINK("https://klasma.github.io/Logging_VASTERVIK/artfynd/A 25145-2022.xlsx")</f>
        <v/>
      </c>
      <c r="T48">
        <f>HYPERLINK("https://klasma.github.io/Logging_VASTERVIK/kartor/A 25145-2022.png")</f>
        <v/>
      </c>
      <c r="U48">
        <f>HYPERLINK("https://klasma.github.io/Logging_VASTERVIK/knärot/A 25145-2022.png")</f>
        <v/>
      </c>
      <c r="V48">
        <f>HYPERLINK("https://klasma.github.io/Logging_VASTERVIK/klagomål/A 25145-2022.docx")</f>
        <v/>
      </c>
      <c r="W48">
        <f>HYPERLINK("https://klasma.github.io/Logging_VASTERVIK/klagomålsmail/A 25145-2022.docx")</f>
        <v/>
      </c>
      <c r="X48">
        <f>HYPERLINK("https://klasma.github.io/Logging_VASTERVIK/tillsyn/A 25145-2022.docx")</f>
        <v/>
      </c>
      <c r="Y48">
        <f>HYPERLINK("https://klasma.github.io/Logging_VASTERVIK/tillsynsmail/A 25145-2022.docx")</f>
        <v/>
      </c>
    </row>
    <row r="49" ht="15" customHeight="1">
      <c r="A49" t="inlineStr">
        <is>
          <t>A 38373-2022</t>
        </is>
      </c>
      <c r="B49" s="1" t="n">
        <v>44812</v>
      </c>
      <c r="C49" s="1" t="n">
        <v>45171</v>
      </c>
      <c r="D49" t="inlineStr">
        <is>
          <t>KALMAR LÄN</t>
        </is>
      </c>
      <c r="E49" t="inlineStr">
        <is>
          <t>VÄSTERVIK</t>
        </is>
      </c>
      <c r="G49" t="n">
        <v>3.1</v>
      </c>
      <c r="H49" t="n">
        <v>1</v>
      </c>
      <c r="I49" t="n">
        <v>1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Knärot
Blåmossa</t>
        </is>
      </c>
      <c r="S49">
        <f>HYPERLINK("https://klasma.github.io/Logging_VASTERVIK/artfynd/A 38373-2022.xlsx")</f>
        <v/>
      </c>
      <c r="T49">
        <f>HYPERLINK("https://klasma.github.io/Logging_VASTERVIK/kartor/A 38373-2022.png")</f>
        <v/>
      </c>
      <c r="U49">
        <f>HYPERLINK("https://klasma.github.io/Logging_VASTERVIK/knärot/A 38373-2022.png")</f>
        <v/>
      </c>
      <c r="V49">
        <f>HYPERLINK("https://klasma.github.io/Logging_VASTERVIK/klagomål/A 38373-2022.docx")</f>
        <v/>
      </c>
      <c r="W49">
        <f>HYPERLINK("https://klasma.github.io/Logging_VASTERVIK/klagomålsmail/A 38373-2022.docx")</f>
        <v/>
      </c>
      <c r="X49">
        <f>HYPERLINK("https://klasma.github.io/Logging_VASTERVIK/tillsyn/A 38373-2022.docx")</f>
        <v/>
      </c>
      <c r="Y49">
        <f>HYPERLINK("https://klasma.github.io/Logging_VASTERVIK/tillsynsmail/A 38373-2022.docx")</f>
        <v/>
      </c>
    </row>
    <row r="50" ht="15" customHeight="1">
      <c r="A50" t="inlineStr">
        <is>
          <t>A 46552-2022</t>
        </is>
      </c>
      <c r="B50" s="1" t="n">
        <v>44848</v>
      </c>
      <c r="C50" s="1" t="n">
        <v>45171</v>
      </c>
      <c r="D50" t="inlineStr">
        <is>
          <t>KALMAR LÄN</t>
        </is>
      </c>
      <c r="E50" t="inlineStr">
        <is>
          <t>VÄSTERVIK</t>
        </is>
      </c>
      <c r="F50" t="inlineStr">
        <is>
          <t>Sveaskog</t>
        </is>
      </c>
      <c r="G50" t="n">
        <v>1.7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Motaggsvamp
Sårläka</t>
        </is>
      </c>
      <c r="S50">
        <f>HYPERLINK("https://klasma.github.io/Logging_VASTERVIK/artfynd/A 46552-2022.xlsx")</f>
        <v/>
      </c>
      <c r="T50">
        <f>HYPERLINK("https://klasma.github.io/Logging_VASTERVIK/kartor/A 46552-2022.png")</f>
        <v/>
      </c>
      <c r="V50">
        <f>HYPERLINK("https://klasma.github.io/Logging_VASTERVIK/klagomål/A 46552-2022.docx")</f>
        <v/>
      </c>
      <c r="W50">
        <f>HYPERLINK("https://klasma.github.io/Logging_VASTERVIK/klagomålsmail/A 46552-2022.docx")</f>
        <v/>
      </c>
      <c r="X50">
        <f>HYPERLINK("https://klasma.github.io/Logging_VASTERVIK/tillsyn/A 46552-2022.docx")</f>
        <v/>
      </c>
      <c r="Y50">
        <f>HYPERLINK("https://klasma.github.io/Logging_VASTERVIK/tillsynsmail/A 46552-2022.docx")</f>
        <v/>
      </c>
    </row>
    <row r="51" ht="15" customHeight="1">
      <c r="A51" t="inlineStr">
        <is>
          <t>A 46787-2022</t>
        </is>
      </c>
      <c r="B51" s="1" t="n">
        <v>44851</v>
      </c>
      <c r="C51" s="1" t="n">
        <v>45171</v>
      </c>
      <c r="D51" t="inlineStr">
        <is>
          <t>KALMAR LÄN</t>
        </is>
      </c>
      <c r="E51" t="inlineStr">
        <is>
          <t>VÄSTERVIK</t>
        </is>
      </c>
      <c r="G51" t="n">
        <v>4.4</v>
      </c>
      <c r="H51" t="n">
        <v>0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2</v>
      </c>
      <c r="R51" s="2" t="inlineStr">
        <is>
          <t>Motaggsvamp
Tallticka</t>
        </is>
      </c>
      <c r="S51">
        <f>HYPERLINK("https://klasma.github.io/Logging_VASTERVIK/artfynd/A 46787-2022.xlsx")</f>
        <v/>
      </c>
      <c r="T51">
        <f>HYPERLINK("https://klasma.github.io/Logging_VASTERVIK/kartor/A 46787-2022.png")</f>
        <v/>
      </c>
      <c r="V51">
        <f>HYPERLINK("https://klasma.github.io/Logging_VASTERVIK/klagomål/A 46787-2022.docx")</f>
        <v/>
      </c>
      <c r="W51">
        <f>HYPERLINK("https://klasma.github.io/Logging_VASTERVIK/klagomålsmail/A 46787-2022.docx")</f>
        <v/>
      </c>
      <c r="X51">
        <f>HYPERLINK("https://klasma.github.io/Logging_VASTERVIK/tillsyn/A 46787-2022.docx")</f>
        <v/>
      </c>
      <c r="Y51">
        <f>HYPERLINK("https://klasma.github.io/Logging_VASTERVIK/tillsynsmail/A 46787-2022.docx")</f>
        <v/>
      </c>
    </row>
    <row r="52" ht="15" customHeight="1">
      <c r="A52" t="inlineStr">
        <is>
          <t>A 50989-2022</t>
        </is>
      </c>
      <c r="B52" s="1" t="n">
        <v>44867</v>
      </c>
      <c r="C52" s="1" t="n">
        <v>45171</v>
      </c>
      <c r="D52" t="inlineStr">
        <is>
          <t>KALMAR LÄN</t>
        </is>
      </c>
      <c r="E52" t="inlineStr">
        <is>
          <t>VÄSTERVIK</t>
        </is>
      </c>
      <c r="G52" t="n">
        <v>2</v>
      </c>
      <c r="H52" t="n">
        <v>0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2</v>
      </c>
      <c r="R52" s="2" t="inlineStr">
        <is>
          <t>Blomkålssvamp
Vätteros</t>
        </is>
      </c>
      <c r="S52">
        <f>HYPERLINK("https://klasma.github.io/Logging_VASTERVIK/artfynd/A 50989-2022.xlsx")</f>
        <v/>
      </c>
      <c r="T52">
        <f>HYPERLINK("https://klasma.github.io/Logging_VASTERVIK/kartor/A 50989-2022.png")</f>
        <v/>
      </c>
      <c r="V52">
        <f>HYPERLINK("https://klasma.github.io/Logging_VASTERVIK/klagomål/A 50989-2022.docx")</f>
        <v/>
      </c>
      <c r="W52">
        <f>HYPERLINK("https://klasma.github.io/Logging_VASTERVIK/klagomålsmail/A 50989-2022.docx")</f>
        <v/>
      </c>
      <c r="X52">
        <f>HYPERLINK("https://klasma.github.io/Logging_VASTERVIK/tillsyn/A 50989-2022.docx")</f>
        <v/>
      </c>
      <c r="Y52">
        <f>HYPERLINK("https://klasma.github.io/Logging_VASTERVIK/tillsynsmail/A 50989-2022.docx")</f>
        <v/>
      </c>
    </row>
    <row r="53" ht="15" customHeight="1">
      <c r="A53" t="inlineStr">
        <is>
          <t>A 62003-2022</t>
        </is>
      </c>
      <c r="B53" s="1" t="n">
        <v>44918</v>
      </c>
      <c r="C53" s="1" t="n">
        <v>45171</v>
      </c>
      <c r="D53" t="inlineStr">
        <is>
          <t>KALMAR LÄN</t>
        </is>
      </c>
      <c r="E53" t="inlineStr">
        <is>
          <t>VÄSTERVIK</t>
        </is>
      </c>
      <c r="G53" t="n">
        <v>6.2</v>
      </c>
      <c r="H53" t="n">
        <v>1</v>
      </c>
      <c r="I53" t="n">
        <v>0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2</v>
      </c>
      <c r="R53" s="2" t="inlineStr">
        <is>
          <t>Knärot
Linmåra/småsnärjmåra</t>
        </is>
      </c>
      <c r="S53">
        <f>HYPERLINK("https://klasma.github.io/Logging_VASTERVIK/artfynd/A 62003-2022.xlsx")</f>
        <v/>
      </c>
      <c r="T53">
        <f>HYPERLINK("https://klasma.github.io/Logging_VASTERVIK/kartor/A 62003-2022.png")</f>
        <v/>
      </c>
      <c r="U53">
        <f>HYPERLINK("https://klasma.github.io/Logging_VASTERVIK/knärot/A 62003-2022.png")</f>
        <v/>
      </c>
      <c r="V53">
        <f>HYPERLINK("https://klasma.github.io/Logging_VASTERVIK/klagomål/A 62003-2022.docx")</f>
        <v/>
      </c>
      <c r="W53">
        <f>HYPERLINK("https://klasma.github.io/Logging_VASTERVIK/klagomålsmail/A 62003-2022.docx")</f>
        <v/>
      </c>
      <c r="X53">
        <f>HYPERLINK("https://klasma.github.io/Logging_VASTERVIK/tillsyn/A 62003-2022.docx")</f>
        <v/>
      </c>
      <c r="Y53">
        <f>HYPERLINK("https://klasma.github.io/Logging_VASTERVIK/tillsynsmail/A 62003-2022.docx")</f>
        <v/>
      </c>
    </row>
    <row r="54" ht="15" customHeight="1">
      <c r="A54" t="inlineStr">
        <is>
          <t>A 2097-2023</t>
        </is>
      </c>
      <c r="B54" s="1" t="n">
        <v>44939</v>
      </c>
      <c r="C54" s="1" t="n">
        <v>45171</v>
      </c>
      <c r="D54" t="inlineStr">
        <is>
          <t>KALMAR LÄN</t>
        </is>
      </c>
      <c r="E54" t="inlineStr">
        <is>
          <t>VÄSTERVIK</t>
        </is>
      </c>
      <c r="G54" t="n">
        <v>6.9</v>
      </c>
      <c r="H54" t="n">
        <v>1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2</v>
      </c>
      <c r="R54" s="2" t="inlineStr">
        <is>
          <t>Knärot
Grovticka</t>
        </is>
      </c>
      <c r="S54">
        <f>HYPERLINK("https://klasma.github.io/Logging_VASTERVIK/artfynd/A 2097-2023.xlsx")</f>
        <v/>
      </c>
      <c r="T54">
        <f>HYPERLINK("https://klasma.github.io/Logging_VASTERVIK/kartor/A 2097-2023.png")</f>
        <v/>
      </c>
      <c r="U54">
        <f>HYPERLINK("https://klasma.github.io/Logging_VASTERVIK/knärot/A 2097-2023.png")</f>
        <v/>
      </c>
      <c r="V54">
        <f>HYPERLINK("https://klasma.github.io/Logging_VASTERVIK/klagomål/A 2097-2023.docx")</f>
        <v/>
      </c>
      <c r="W54">
        <f>HYPERLINK("https://klasma.github.io/Logging_VASTERVIK/klagomålsmail/A 2097-2023.docx")</f>
        <v/>
      </c>
      <c r="X54">
        <f>HYPERLINK("https://klasma.github.io/Logging_VASTERVIK/tillsyn/A 2097-2023.docx")</f>
        <v/>
      </c>
      <c r="Y54">
        <f>HYPERLINK("https://klasma.github.io/Logging_VASTERVIK/tillsynsmail/A 2097-2023.docx")</f>
        <v/>
      </c>
    </row>
    <row r="55" ht="15" customHeight="1">
      <c r="A55" t="inlineStr">
        <is>
          <t>A 2515-2023</t>
        </is>
      </c>
      <c r="B55" s="1" t="n">
        <v>44943</v>
      </c>
      <c r="C55" s="1" t="n">
        <v>45171</v>
      </c>
      <c r="D55" t="inlineStr">
        <is>
          <t>KALMAR LÄN</t>
        </is>
      </c>
      <c r="E55" t="inlineStr">
        <is>
          <t>VÄSTERVIK</t>
        </is>
      </c>
      <c r="G55" t="n">
        <v>1.3</v>
      </c>
      <c r="H55" t="n">
        <v>1</v>
      </c>
      <c r="I55" t="n">
        <v>1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2</v>
      </c>
      <c r="R55" s="2" t="inlineStr">
        <is>
          <t>Knärot
Grönpyrola</t>
        </is>
      </c>
      <c r="S55">
        <f>HYPERLINK("https://klasma.github.io/Logging_VASTERVIK/artfynd/A 2515-2023.xlsx")</f>
        <v/>
      </c>
      <c r="T55">
        <f>HYPERLINK("https://klasma.github.io/Logging_VASTERVIK/kartor/A 2515-2023.png")</f>
        <v/>
      </c>
      <c r="U55">
        <f>HYPERLINK("https://klasma.github.io/Logging_VASTERVIK/knärot/A 2515-2023.png")</f>
        <v/>
      </c>
      <c r="V55">
        <f>HYPERLINK("https://klasma.github.io/Logging_VASTERVIK/klagomål/A 2515-2023.docx")</f>
        <v/>
      </c>
      <c r="W55">
        <f>HYPERLINK("https://klasma.github.io/Logging_VASTERVIK/klagomålsmail/A 2515-2023.docx")</f>
        <v/>
      </c>
      <c r="X55">
        <f>HYPERLINK("https://klasma.github.io/Logging_VASTERVIK/tillsyn/A 2515-2023.docx")</f>
        <v/>
      </c>
      <c r="Y55">
        <f>HYPERLINK("https://klasma.github.io/Logging_VASTERVIK/tillsynsmail/A 2515-2023.docx")</f>
        <v/>
      </c>
    </row>
    <row r="56" ht="15" customHeight="1">
      <c r="A56" t="inlineStr">
        <is>
          <t>A 3173-2023</t>
        </is>
      </c>
      <c r="B56" s="1" t="n">
        <v>44946</v>
      </c>
      <c r="C56" s="1" t="n">
        <v>45171</v>
      </c>
      <c r="D56" t="inlineStr">
        <is>
          <t>KALMAR LÄN</t>
        </is>
      </c>
      <c r="E56" t="inlineStr">
        <is>
          <t>VÄSTERVIK</t>
        </is>
      </c>
      <c r="G56" t="n">
        <v>4</v>
      </c>
      <c r="H56" t="n">
        <v>1</v>
      </c>
      <c r="I56" t="n">
        <v>0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2</v>
      </c>
      <c r="R56" s="2" t="inlineStr">
        <is>
          <t>Knärot
Tallticka</t>
        </is>
      </c>
      <c r="S56">
        <f>HYPERLINK("https://klasma.github.io/Logging_VASTERVIK/artfynd/A 3173-2023.xlsx")</f>
        <v/>
      </c>
      <c r="T56">
        <f>HYPERLINK("https://klasma.github.io/Logging_VASTERVIK/kartor/A 3173-2023.png")</f>
        <v/>
      </c>
      <c r="U56">
        <f>HYPERLINK("https://klasma.github.io/Logging_VASTERVIK/knärot/A 3173-2023.png")</f>
        <v/>
      </c>
      <c r="V56">
        <f>HYPERLINK("https://klasma.github.io/Logging_VASTERVIK/klagomål/A 3173-2023.docx")</f>
        <v/>
      </c>
      <c r="W56">
        <f>HYPERLINK("https://klasma.github.io/Logging_VASTERVIK/klagomålsmail/A 3173-2023.docx")</f>
        <v/>
      </c>
      <c r="X56">
        <f>HYPERLINK("https://klasma.github.io/Logging_VASTERVIK/tillsyn/A 3173-2023.docx")</f>
        <v/>
      </c>
      <c r="Y56">
        <f>HYPERLINK("https://klasma.github.io/Logging_VASTERVIK/tillsynsmail/A 3173-2023.docx")</f>
        <v/>
      </c>
    </row>
    <row r="57" ht="15" customHeight="1">
      <c r="A57" t="inlineStr">
        <is>
          <t>A 9040-2023</t>
        </is>
      </c>
      <c r="B57" s="1" t="n">
        <v>44979</v>
      </c>
      <c r="C57" s="1" t="n">
        <v>45171</v>
      </c>
      <c r="D57" t="inlineStr">
        <is>
          <t>KALMAR LÄN</t>
        </is>
      </c>
      <c r="E57" t="inlineStr">
        <is>
          <t>VÄSTERVIK</t>
        </is>
      </c>
      <c r="G57" t="n">
        <v>5.1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9040-2023.xlsx")</f>
        <v/>
      </c>
      <c r="T57">
        <f>HYPERLINK("https://klasma.github.io/Logging_VASTERVIK/kartor/A 9040-2023.png")</f>
        <v/>
      </c>
      <c r="U57">
        <f>HYPERLINK("https://klasma.github.io/Logging_VASTERVIK/knärot/A 9040-2023.png")</f>
        <v/>
      </c>
      <c r="V57">
        <f>HYPERLINK("https://klasma.github.io/Logging_VASTERVIK/klagomål/A 9040-2023.docx")</f>
        <v/>
      </c>
      <c r="W57">
        <f>HYPERLINK("https://klasma.github.io/Logging_VASTERVIK/klagomålsmail/A 9040-2023.docx")</f>
        <v/>
      </c>
      <c r="X57">
        <f>HYPERLINK("https://klasma.github.io/Logging_VASTERVIK/tillsyn/A 9040-2023.docx")</f>
        <v/>
      </c>
      <c r="Y57">
        <f>HYPERLINK("https://klasma.github.io/Logging_VASTERVIK/tillsynsmail/A 9040-2023.docx")</f>
        <v/>
      </c>
    </row>
    <row r="58" ht="15" customHeight="1">
      <c r="A58" t="inlineStr">
        <is>
          <t>A 10806-2023</t>
        </is>
      </c>
      <c r="B58" s="1" t="n">
        <v>44989</v>
      </c>
      <c r="C58" s="1" t="n">
        <v>45171</v>
      </c>
      <c r="D58" t="inlineStr">
        <is>
          <t>KALMAR LÄN</t>
        </is>
      </c>
      <c r="E58" t="inlineStr">
        <is>
          <t>VÄSTERVIK</t>
        </is>
      </c>
      <c r="G58" t="n">
        <v>3</v>
      </c>
      <c r="H58" t="n">
        <v>2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2</v>
      </c>
      <c r="R58" s="2" t="inlineStr">
        <is>
          <t>Knärot
Revlummer</t>
        </is>
      </c>
      <c r="S58">
        <f>HYPERLINK("https://klasma.github.io/Logging_VASTERVIK/artfynd/A 10806-2023.xlsx")</f>
        <v/>
      </c>
      <c r="T58">
        <f>HYPERLINK("https://klasma.github.io/Logging_VASTERVIK/kartor/A 10806-2023.png")</f>
        <v/>
      </c>
      <c r="U58">
        <f>HYPERLINK("https://klasma.github.io/Logging_VASTERVIK/knärot/A 10806-2023.png")</f>
        <v/>
      </c>
      <c r="V58">
        <f>HYPERLINK("https://klasma.github.io/Logging_VASTERVIK/klagomål/A 10806-2023.docx")</f>
        <v/>
      </c>
      <c r="W58">
        <f>HYPERLINK("https://klasma.github.io/Logging_VASTERVIK/klagomålsmail/A 10806-2023.docx")</f>
        <v/>
      </c>
      <c r="X58">
        <f>HYPERLINK("https://klasma.github.io/Logging_VASTERVIK/tillsyn/A 10806-2023.docx")</f>
        <v/>
      </c>
      <c r="Y58">
        <f>HYPERLINK("https://klasma.github.io/Logging_VASTERVIK/tillsynsmail/A 10806-2023.docx")</f>
        <v/>
      </c>
    </row>
    <row r="59" ht="15" customHeight="1">
      <c r="A59" t="inlineStr">
        <is>
          <t>A 14301-2023</t>
        </is>
      </c>
      <c r="B59" s="1" t="n">
        <v>45011</v>
      </c>
      <c r="C59" s="1" t="n">
        <v>45171</v>
      </c>
      <c r="D59" t="inlineStr">
        <is>
          <t>KALMAR LÄN</t>
        </is>
      </c>
      <c r="E59" t="inlineStr">
        <is>
          <t>VÄSTERVIK</t>
        </is>
      </c>
      <c r="G59" t="n">
        <v>4.4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14301-2023.xlsx")</f>
        <v/>
      </c>
      <c r="T59">
        <f>HYPERLINK("https://klasma.github.io/Logging_VASTERVIK/kartor/A 14301-2023.png")</f>
        <v/>
      </c>
      <c r="U59">
        <f>HYPERLINK("https://klasma.github.io/Logging_VASTERVIK/knärot/A 14301-2023.png")</f>
        <v/>
      </c>
      <c r="V59">
        <f>HYPERLINK("https://klasma.github.io/Logging_VASTERVIK/klagomål/A 14301-2023.docx")</f>
        <v/>
      </c>
      <c r="W59">
        <f>HYPERLINK("https://klasma.github.io/Logging_VASTERVIK/klagomålsmail/A 14301-2023.docx")</f>
        <v/>
      </c>
      <c r="X59">
        <f>HYPERLINK("https://klasma.github.io/Logging_VASTERVIK/tillsyn/A 14301-2023.docx")</f>
        <v/>
      </c>
      <c r="Y59">
        <f>HYPERLINK("https://klasma.github.io/Logging_VASTERVIK/tillsynsmail/A 14301-2023.docx")</f>
        <v/>
      </c>
    </row>
    <row r="60" ht="15" customHeight="1">
      <c r="A60" t="inlineStr">
        <is>
          <t>A 32649-2023</t>
        </is>
      </c>
      <c r="B60" s="1" t="n">
        <v>45121</v>
      </c>
      <c r="C60" s="1" t="n">
        <v>45171</v>
      </c>
      <c r="D60" t="inlineStr">
        <is>
          <t>KALMAR LÄN</t>
        </is>
      </c>
      <c r="E60" t="inlineStr">
        <is>
          <t>VÄSTERVIK</t>
        </is>
      </c>
      <c r="G60" t="n">
        <v>1.7</v>
      </c>
      <c r="H60" t="n">
        <v>1</v>
      </c>
      <c r="I60" t="n">
        <v>1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Blåmossa</t>
        </is>
      </c>
      <c r="S60">
        <f>HYPERLINK("https://klasma.github.io/Logging_VASTERVIK/artfynd/A 32649-2023.xlsx")</f>
        <v/>
      </c>
      <c r="T60">
        <f>HYPERLINK("https://klasma.github.io/Logging_VASTERVIK/kartor/A 32649-2023.png")</f>
        <v/>
      </c>
      <c r="U60">
        <f>HYPERLINK("https://klasma.github.io/Logging_VASTERVIK/knärot/A 32649-2023.png")</f>
        <v/>
      </c>
      <c r="V60">
        <f>HYPERLINK("https://klasma.github.io/Logging_VASTERVIK/klagomål/A 32649-2023.docx")</f>
        <v/>
      </c>
      <c r="W60">
        <f>HYPERLINK("https://klasma.github.io/Logging_VASTERVIK/klagomålsmail/A 32649-2023.docx")</f>
        <v/>
      </c>
      <c r="X60">
        <f>HYPERLINK("https://klasma.github.io/Logging_VASTERVIK/tillsyn/A 32649-2023.docx")</f>
        <v/>
      </c>
      <c r="Y60">
        <f>HYPERLINK("https://klasma.github.io/Logging_VASTERVIK/tillsynsmail/A 32649-2023.docx")</f>
        <v/>
      </c>
    </row>
    <row r="61" ht="15" customHeight="1">
      <c r="A61" t="inlineStr">
        <is>
          <t>A 51204-2018</t>
        </is>
      </c>
      <c r="B61" s="1" t="n">
        <v>43377</v>
      </c>
      <c r="C61" s="1" t="n">
        <v>45171</v>
      </c>
      <c r="D61" t="inlineStr">
        <is>
          <t>KALMAR LÄN</t>
        </is>
      </c>
      <c r="E61" t="inlineStr">
        <is>
          <t>VÄSTERVIK</t>
        </is>
      </c>
      <c r="G61" t="n">
        <v>2.2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Scharlakansskål</t>
        </is>
      </c>
      <c r="S61">
        <f>HYPERLINK("https://klasma.github.io/Logging_VASTERVIK/artfynd/A 51204-2018.xlsx")</f>
        <v/>
      </c>
      <c r="T61">
        <f>HYPERLINK("https://klasma.github.io/Logging_VASTERVIK/kartor/A 51204-2018.png")</f>
        <v/>
      </c>
      <c r="V61">
        <f>HYPERLINK("https://klasma.github.io/Logging_VASTERVIK/klagomål/A 51204-2018.docx")</f>
        <v/>
      </c>
      <c r="W61">
        <f>HYPERLINK("https://klasma.github.io/Logging_VASTERVIK/klagomålsmail/A 51204-2018.docx")</f>
        <v/>
      </c>
      <c r="X61">
        <f>HYPERLINK("https://klasma.github.io/Logging_VASTERVIK/tillsyn/A 51204-2018.docx")</f>
        <v/>
      </c>
      <c r="Y61">
        <f>HYPERLINK("https://klasma.github.io/Logging_VASTERVIK/tillsynsmail/A 51204-2018.docx")</f>
        <v/>
      </c>
    </row>
    <row r="62" ht="15" customHeight="1">
      <c r="A62" t="inlineStr">
        <is>
          <t>A 4926-2019</t>
        </is>
      </c>
      <c r="B62" s="1" t="n">
        <v>43479</v>
      </c>
      <c r="C62" s="1" t="n">
        <v>45171</v>
      </c>
      <c r="D62" t="inlineStr">
        <is>
          <t>KALMAR LÄN</t>
        </is>
      </c>
      <c r="E62" t="inlineStr">
        <is>
          <t>VÄSTERVIK</t>
        </is>
      </c>
      <c r="G62" t="n">
        <v>2.2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Hornuggla</t>
        </is>
      </c>
      <c r="S62">
        <f>HYPERLINK("https://klasma.github.io/Logging_VASTERVIK/artfynd/A 4926-2019.xlsx")</f>
        <v/>
      </c>
      <c r="T62">
        <f>HYPERLINK("https://klasma.github.io/Logging_VASTERVIK/kartor/A 4926-2019.png")</f>
        <v/>
      </c>
      <c r="V62">
        <f>HYPERLINK("https://klasma.github.io/Logging_VASTERVIK/klagomål/A 4926-2019.docx")</f>
        <v/>
      </c>
      <c r="W62">
        <f>HYPERLINK("https://klasma.github.io/Logging_VASTERVIK/klagomålsmail/A 4926-2019.docx")</f>
        <v/>
      </c>
      <c r="X62">
        <f>HYPERLINK("https://klasma.github.io/Logging_VASTERVIK/tillsyn/A 4926-2019.docx")</f>
        <v/>
      </c>
      <c r="Y62">
        <f>HYPERLINK("https://klasma.github.io/Logging_VASTERVIK/tillsynsmail/A 4926-2019.docx")</f>
        <v/>
      </c>
    </row>
    <row r="63" ht="15" customHeight="1">
      <c r="A63" t="inlineStr">
        <is>
          <t>A 10741-2019</t>
        </is>
      </c>
      <c r="B63" s="1" t="n">
        <v>43514</v>
      </c>
      <c r="C63" s="1" t="n">
        <v>45171</v>
      </c>
      <c r="D63" t="inlineStr">
        <is>
          <t>KALMAR LÄN</t>
        </is>
      </c>
      <c r="E63" t="inlineStr">
        <is>
          <t>VÄSTERVIK</t>
        </is>
      </c>
      <c r="F63" t="inlineStr">
        <is>
          <t>Holmen skog AB</t>
        </is>
      </c>
      <c r="G63" t="n">
        <v>3.3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Tallticka</t>
        </is>
      </c>
      <c r="S63">
        <f>HYPERLINK("https://klasma.github.io/Logging_VASTERVIK/artfynd/A 10741-2019.xlsx")</f>
        <v/>
      </c>
      <c r="T63">
        <f>HYPERLINK("https://klasma.github.io/Logging_VASTERVIK/kartor/A 10741-2019.png")</f>
        <v/>
      </c>
      <c r="U63">
        <f>HYPERLINK("https://klasma.github.io/Logging_VASTERVIK/knärot/A 10741-2019.png")</f>
        <v/>
      </c>
      <c r="V63">
        <f>HYPERLINK("https://klasma.github.io/Logging_VASTERVIK/klagomål/A 10741-2019.docx")</f>
        <v/>
      </c>
      <c r="W63">
        <f>HYPERLINK("https://klasma.github.io/Logging_VASTERVIK/klagomålsmail/A 10741-2019.docx")</f>
        <v/>
      </c>
      <c r="X63">
        <f>HYPERLINK("https://klasma.github.io/Logging_VASTERVIK/tillsyn/A 10741-2019.docx")</f>
        <v/>
      </c>
      <c r="Y63">
        <f>HYPERLINK("https://klasma.github.io/Logging_VASTERVIK/tillsynsmail/A 10741-2019.docx")</f>
        <v/>
      </c>
    </row>
    <row r="64" ht="15" customHeight="1">
      <c r="A64" t="inlineStr">
        <is>
          <t>A 15043-2019</t>
        </is>
      </c>
      <c r="B64" s="1" t="n">
        <v>43538</v>
      </c>
      <c r="C64" s="1" t="n">
        <v>45171</v>
      </c>
      <c r="D64" t="inlineStr">
        <is>
          <t>KALMAR LÄN</t>
        </is>
      </c>
      <c r="E64" t="inlineStr">
        <is>
          <t>VÄSTERVIK</t>
        </is>
      </c>
      <c r="G64" t="n">
        <v>10.2</v>
      </c>
      <c r="H64" t="n">
        <v>0</v>
      </c>
      <c r="I64" t="n">
        <v>0</v>
      </c>
      <c r="J64" t="n">
        <v>0</v>
      </c>
      <c r="K64" t="n">
        <v>1</v>
      </c>
      <c r="L64" t="n">
        <v>0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Slåttergubbe</t>
        </is>
      </c>
      <c r="S64">
        <f>HYPERLINK("https://klasma.github.io/Logging_VASTERVIK/artfynd/A 15043-2019.xlsx")</f>
        <v/>
      </c>
      <c r="T64">
        <f>HYPERLINK("https://klasma.github.io/Logging_VASTERVIK/kartor/A 15043-2019.png")</f>
        <v/>
      </c>
      <c r="V64">
        <f>HYPERLINK("https://klasma.github.io/Logging_VASTERVIK/klagomål/A 15043-2019.docx")</f>
        <v/>
      </c>
      <c r="W64">
        <f>HYPERLINK("https://klasma.github.io/Logging_VASTERVIK/klagomålsmail/A 15043-2019.docx")</f>
        <v/>
      </c>
      <c r="X64">
        <f>HYPERLINK("https://klasma.github.io/Logging_VASTERVIK/tillsyn/A 15043-2019.docx")</f>
        <v/>
      </c>
      <c r="Y64">
        <f>HYPERLINK("https://klasma.github.io/Logging_VASTERVIK/tillsynsmail/A 15043-2019.docx")</f>
        <v/>
      </c>
    </row>
    <row r="65" ht="15" customHeight="1">
      <c r="A65" t="inlineStr">
        <is>
          <t>A 27200-2019</t>
        </is>
      </c>
      <c r="B65" s="1" t="n">
        <v>43614</v>
      </c>
      <c r="C65" s="1" t="n">
        <v>45171</v>
      </c>
      <c r="D65" t="inlineStr">
        <is>
          <t>KALMAR LÄN</t>
        </is>
      </c>
      <c r="E65" t="inlineStr">
        <is>
          <t>VÄSTERVIK</t>
        </is>
      </c>
      <c r="F65" t="inlineStr">
        <is>
          <t>Sveaskog</t>
        </is>
      </c>
      <c r="G65" t="n">
        <v>8.5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Myskmadra</t>
        </is>
      </c>
      <c r="S65">
        <f>HYPERLINK("https://klasma.github.io/Logging_VASTERVIK/artfynd/A 27200-2019.xlsx")</f>
        <v/>
      </c>
      <c r="T65">
        <f>HYPERLINK("https://klasma.github.io/Logging_VASTERVIK/kartor/A 27200-2019.png")</f>
        <v/>
      </c>
      <c r="V65">
        <f>HYPERLINK("https://klasma.github.io/Logging_VASTERVIK/klagomål/A 27200-2019.docx")</f>
        <v/>
      </c>
      <c r="W65">
        <f>HYPERLINK("https://klasma.github.io/Logging_VASTERVIK/klagomålsmail/A 27200-2019.docx")</f>
        <v/>
      </c>
      <c r="X65">
        <f>HYPERLINK("https://klasma.github.io/Logging_VASTERVIK/tillsyn/A 27200-2019.docx")</f>
        <v/>
      </c>
      <c r="Y65">
        <f>HYPERLINK("https://klasma.github.io/Logging_VASTERVIK/tillsynsmail/A 27200-2019.docx")</f>
        <v/>
      </c>
    </row>
    <row r="66" ht="15" customHeight="1">
      <c r="A66" t="inlineStr">
        <is>
          <t>A 27203-2019</t>
        </is>
      </c>
      <c r="B66" s="1" t="n">
        <v>43614</v>
      </c>
      <c r="C66" s="1" t="n">
        <v>45171</v>
      </c>
      <c r="D66" t="inlineStr">
        <is>
          <t>KALMAR LÄN</t>
        </is>
      </c>
      <c r="E66" t="inlineStr">
        <is>
          <t>VÄSTERVIK</t>
        </is>
      </c>
      <c r="F66" t="inlineStr">
        <is>
          <t>Sveaskog</t>
        </is>
      </c>
      <c r="G66" t="n">
        <v>4.8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Blomskägglav</t>
        </is>
      </c>
      <c r="S66">
        <f>HYPERLINK("https://klasma.github.io/Logging_VASTERVIK/artfynd/A 27203-2019.xlsx")</f>
        <v/>
      </c>
      <c r="T66">
        <f>HYPERLINK("https://klasma.github.io/Logging_VASTERVIK/kartor/A 27203-2019.png")</f>
        <v/>
      </c>
      <c r="V66">
        <f>HYPERLINK("https://klasma.github.io/Logging_VASTERVIK/klagomål/A 27203-2019.docx")</f>
        <v/>
      </c>
      <c r="W66">
        <f>HYPERLINK("https://klasma.github.io/Logging_VASTERVIK/klagomålsmail/A 27203-2019.docx")</f>
        <v/>
      </c>
      <c r="X66">
        <f>HYPERLINK("https://klasma.github.io/Logging_VASTERVIK/tillsyn/A 27203-2019.docx")</f>
        <v/>
      </c>
      <c r="Y66">
        <f>HYPERLINK("https://klasma.github.io/Logging_VASTERVIK/tillsynsmail/A 27203-2019.docx")</f>
        <v/>
      </c>
    </row>
    <row r="67" ht="15" customHeight="1">
      <c r="A67" t="inlineStr">
        <is>
          <t>A 27204-2019</t>
        </is>
      </c>
      <c r="B67" s="1" t="n">
        <v>43614</v>
      </c>
      <c r="C67" s="1" t="n">
        <v>45171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12.9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Platt fjädermossa</t>
        </is>
      </c>
      <c r="S67">
        <f>HYPERLINK("https://klasma.github.io/Logging_VASTERVIK/artfynd/A 27204-2019.xlsx")</f>
        <v/>
      </c>
      <c r="T67">
        <f>HYPERLINK("https://klasma.github.io/Logging_VASTERVIK/kartor/A 27204-2019.png")</f>
        <v/>
      </c>
      <c r="V67">
        <f>HYPERLINK("https://klasma.github.io/Logging_VASTERVIK/klagomål/A 27204-2019.docx")</f>
        <v/>
      </c>
      <c r="W67">
        <f>HYPERLINK("https://klasma.github.io/Logging_VASTERVIK/klagomålsmail/A 27204-2019.docx")</f>
        <v/>
      </c>
      <c r="X67">
        <f>HYPERLINK("https://klasma.github.io/Logging_VASTERVIK/tillsyn/A 27204-2019.docx")</f>
        <v/>
      </c>
      <c r="Y67">
        <f>HYPERLINK("https://klasma.github.io/Logging_VASTERVIK/tillsynsmail/A 27204-2019.docx")</f>
        <v/>
      </c>
    </row>
    <row r="68" ht="15" customHeight="1">
      <c r="A68" t="inlineStr">
        <is>
          <t>A 59193-2019</t>
        </is>
      </c>
      <c r="B68" s="1" t="n">
        <v>43775</v>
      </c>
      <c r="C68" s="1" t="n">
        <v>45171</v>
      </c>
      <c r="D68" t="inlineStr">
        <is>
          <t>KALMAR LÄN</t>
        </is>
      </c>
      <c r="E68" t="inlineStr">
        <is>
          <t>VÄSTERVIK</t>
        </is>
      </c>
      <c r="G68" t="n">
        <v>3.8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Åkerkulla</t>
        </is>
      </c>
      <c r="S68">
        <f>HYPERLINK("https://klasma.github.io/Logging_VASTERVIK/artfynd/A 59193-2019.xlsx")</f>
        <v/>
      </c>
      <c r="T68">
        <f>HYPERLINK("https://klasma.github.io/Logging_VASTERVIK/kartor/A 59193-2019.png")</f>
        <v/>
      </c>
      <c r="V68">
        <f>HYPERLINK("https://klasma.github.io/Logging_VASTERVIK/klagomål/A 59193-2019.docx")</f>
        <v/>
      </c>
      <c r="W68">
        <f>HYPERLINK("https://klasma.github.io/Logging_VASTERVIK/klagomålsmail/A 59193-2019.docx")</f>
        <v/>
      </c>
      <c r="X68">
        <f>HYPERLINK("https://klasma.github.io/Logging_VASTERVIK/tillsyn/A 59193-2019.docx")</f>
        <v/>
      </c>
      <c r="Y68">
        <f>HYPERLINK("https://klasma.github.io/Logging_VASTERVIK/tillsynsmail/A 59193-2019.docx")</f>
        <v/>
      </c>
    </row>
    <row r="69" ht="15" customHeight="1">
      <c r="A69" t="inlineStr">
        <is>
          <t>A 16608-2020</t>
        </is>
      </c>
      <c r="B69" s="1" t="n">
        <v>43908</v>
      </c>
      <c r="C69" s="1" t="n">
        <v>45171</v>
      </c>
      <c r="D69" t="inlineStr">
        <is>
          <t>KALMAR LÄN</t>
        </is>
      </c>
      <c r="E69" t="inlineStr">
        <is>
          <t>VÄSTERVIK</t>
        </is>
      </c>
      <c r="F69" t="inlineStr">
        <is>
          <t>Övriga Aktiebolag</t>
        </is>
      </c>
      <c r="G69" t="n">
        <v>1.7</v>
      </c>
      <c r="H69" t="n">
        <v>0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Skogsklocka</t>
        </is>
      </c>
      <c r="S69">
        <f>HYPERLINK("https://klasma.github.io/Logging_VASTERVIK/artfynd/A 16608-2020.xlsx")</f>
        <v/>
      </c>
      <c r="T69">
        <f>HYPERLINK("https://klasma.github.io/Logging_VASTERVIK/kartor/A 16608-2020.png")</f>
        <v/>
      </c>
      <c r="V69">
        <f>HYPERLINK("https://klasma.github.io/Logging_VASTERVIK/klagomål/A 16608-2020.docx")</f>
        <v/>
      </c>
      <c r="W69">
        <f>HYPERLINK("https://klasma.github.io/Logging_VASTERVIK/klagomålsmail/A 16608-2020.docx")</f>
        <v/>
      </c>
      <c r="X69">
        <f>HYPERLINK("https://klasma.github.io/Logging_VASTERVIK/tillsyn/A 16608-2020.docx")</f>
        <v/>
      </c>
      <c r="Y69">
        <f>HYPERLINK("https://klasma.github.io/Logging_VASTERVIK/tillsynsmail/A 16608-2020.docx")</f>
        <v/>
      </c>
    </row>
    <row r="70" ht="15" customHeight="1">
      <c r="A70" t="inlineStr">
        <is>
          <t>A 15357-2020</t>
        </is>
      </c>
      <c r="B70" s="1" t="n">
        <v>43913</v>
      </c>
      <c r="C70" s="1" t="n">
        <v>45171</v>
      </c>
      <c r="D70" t="inlineStr">
        <is>
          <t>KALMAR LÄN</t>
        </is>
      </c>
      <c r="E70" t="inlineStr">
        <is>
          <t>VÄSTERVIK</t>
        </is>
      </c>
      <c r="G70" t="n">
        <v>2.9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Grönpyrola</t>
        </is>
      </c>
      <c r="S70">
        <f>HYPERLINK("https://klasma.github.io/Logging_VASTERVIK/artfynd/A 15357-2020.xlsx")</f>
        <v/>
      </c>
      <c r="T70">
        <f>HYPERLINK("https://klasma.github.io/Logging_VASTERVIK/kartor/A 15357-2020.png")</f>
        <v/>
      </c>
      <c r="U70">
        <f>HYPERLINK("https://klasma.github.io/Logging_VASTERVIK/knärot/A 15357-2020.png")</f>
        <v/>
      </c>
      <c r="V70">
        <f>HYPERLINK("https://klasma.github.io/Logging_VASTERVIK/klagomål/A 15357-2020.docx")</f>
        <v/>
      </c>
      <c r="W70">
        <f>HYPERLINK("https://klasma.github.io/Logging_VASTERVIK/klagomålsmail/A 15357-2020.docx")</f>
        <v/>
      </c>
      <c r="X70">
        <f>HYPERLINK("https://klasma.github.io/Logging_VASTERVIK/tillsyn/A 15357-2020.docx")</f>
        <v/>
      </c>
      <c r="Y70">
        <f>HYPERLINK("https://klasma.github.io/Logging_VASTERVIK/tillsynsmail/A 15357-2020.docx")</f>
        <v/>
      </c>
    </row>
    <row r="71" ht="15" customHeight="1">
      <c r="A71" t="inlineStr">
        <is>
          <t>A 39836-2020</t>
        </is>
      </c>
      <c r="B71" s="1" t="n">
        <v>44064</v>
      </c>
      <c r="C71" s="1" t="n">
        <v>45171</v>
      </c>
      <c r="D71" t="inlineStr">
        <is>
          <t>KALMAR LÄN</t>
        </is>
      </c>
      <c r="E71" t="inlineStr">
        <is>
          <t>VÄSTERVIK</t>
        </is>
      </c>
      <c r="G71" t="n">
        <v>13.4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Havsörn</t>
        </is>
      </c>
      <c r="S71">
        <f>HYPERLINK("https://klasma.github.io/Logging_VASTERVIK/artfynd/A 39836-2020.xlsx")</f>
        <v/>
      </c>
      <c r="T71">
        <f>HYPERLINK("https://klasma.github.io/Logging_VASTERVIK/kartor/A 39836-2020.png")</f>
        <v/>
      </c>
      <c r="V71">
        <f>HYPERLINK("https://klasma.github.io/Logging_VASTERVIK/klagomål/A 39836-2020.docx")</f>
        <v/>
      </c>
      <c r="W71">
        <f>HYPERLINK("https://klasma.github.io/Logging_VASTERVIK/klagomålsmail/A 39836-2020.docx")</f>
        <v/>
      </c>
      <c r="X71">
        <f>HYPERLINK("https://klasma.github.io/Logging_VASTERVIK/tillsyn/A 39836-2020.docx")</f>
        <v/>
      </c>
      <c r="Y71">
        <f>HYPERLINK("https://klasma.github.io/Logging_VASTERVIK/tillsynsmail/A 39836-2020.docx")</f>
        <v/>
      </c>
    </row>
    <row r="72" ht="15" customHeight="1">
      <c r="A72" t="inlineStr">
        <is>
          <t>A 56180-2020</t>
        </is>
      </c>
      <c r="B72" s="1" t="n">
        <v>44133</v>
      </c>
      <c r="C72" s="1" t="n">
        <v>45171</v>
      </c>
      <c r="D72" t="inlineStr">
        <is>
          <t>KALMAR LÄN</t>
        </is>
      </c>
      <c r="E72" t="inlineStr">
        <is>
          <t>VÄSTERVIK</t>
        </is>
      </c>
      <c r="G72" t="n">
        <v>9.199999999999999</v>
      </c>
      <c r="H72" t="n">
        <v>1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Mattlummer</t>
        </is>
      </c>
      <c r="S72">
        <f>HYPERLINK("https://klasma.github.io/Logging_VASTERVIK/artfynd/A 56180-2020.xlsx")</f>
        <v/>
      </c>
      <c r="T72">
        <f>HYPERLINK("https://klasma.github.io/Logging_VASTERVIK/kartor/A 56180-2020.png")</f>
        <v/>
      </c>
      <c r="V72">
        <f>HYPERLINK("https://klasma.github.io/Logging_VASTERVIK/klagomål/A 56180-2020.docx")</f>
        <v/>
      </c>
      <c r="W72">
        <f>HYPERLINK("https://klasma.github.io/Logging_VASTERVIK/klagomålsmail/A 56180-2020.docx")</f>
        <v/>
      </c>
      <c r="X72">
        <f>HYPERLINK("https://klasma.github.io/Logging_VASTERVIK/tillsyn/A 56180-2020.docx")</f>
        <v/>
      </c>
      <c r="Y72">
        <f>HYPERLINK("https://klasma.github.io/Logging_VASTERVIK/tillsynsmail/A 56180-2020.docx")</f>
        <v/>
      </c>
    </row>
    <row r="73" ht="15" customHeight="1">
      <c r="A73" t="inlineStr">
        <is>
          <t>A 66752-2020</t>
        </is>
      </c>
      <c r="B73" s="1" t="n">
        <v>44175</v>
      </c>
      <c r="C73" s="1" t="n">
        <v>45171</v>
      </c>
      <c r="D73" t="inlineStr">
        <is>
          <t>KALMAR LÄN</t>
        </is>
      </c>
      <c r="E73" t="inlineStr">
        <is>
          <t>VÄSTERVIK</t>
        </is>
      </c>
      <c r="G73" t="n">
        <v>0.7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Tallticka</t>
        </is>
      </c>
      <c r="S73">
        <f>HYPERLINK("https://klasma.github.io/Logging_VASTERVIK/artfynd/A 66752-2020.xlsx")</f>
        <v/>
      </c>
      <c r="T73">
        <f>HYPERLINK("https://klasma.github.io/Logging_VASTERVIK/kartor/A 66752-2020.png")</f>
        <v/>
      </c>
      <c r="V73">
        <f>HYPERLINK("https://klasma.github.io/Logging_VASTERVIK/klagomål/A 66752-2020.docx")</f>
        <v/>
      </c>
      <c r="W73">
        <f>HYPERLINK("https://klasma.github.io/Logging_VASTERVIK/klagomålsmail/A 66752-2020.docx")</f>
        <v/>
      </c>
      <c r="X73">
        <f>HYPERLINK("https://klasma.github.io/Logging_VASTERVIK/tillsyn/A 66752-2020.docx")</f>
        <v/>
      </c>
      <c r="Y73">
        <f>HYPERLINK("https://klasma.github.io/Logging_VASTERVIK/tillsynsmail/A 66752-2020.docx")</f>
        <v/>
      </c>
    </row>
    <row r="74" ht="15" customHeight="1">
      <c r="A74" t="inlineStr">
        <is>
          <t>A 69632-2020</t>
        </is>
      </c>
      <c r="B74" s="1" t="n">
        <v>44195</v>
      </c>
      <c r="C74" s="1" t="n">
        <v>45171</v>
      </c>
      <c r="D74" t="inlineStr">
        <is>
          <t>KALMAR LÄN</t>
        </is>
      </c>
      <c r="E74" t="inlineStr">
        <is>
          <t>VÄSTERVIK</t>
        </is>
      </c>
      <c r="G74" t="n">
        <v>2.5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69632-2020.xlsx")</f>
        <v/>
      </c>
      <c r="T74">
        <f>HYPERLINK("https://klasma.github.io/Logging_VASTERVIK/kartor/A 69632-2020.png")</f>
        <v/>
      </c>
      <c r="V74">
        <f>HYPERLINK("https://klasma.github.io/Logging_VASTERVIK/klagomål/A 69632-2020.docx")</f>
        <v/>
      </c>
      <c r="W74">
        <f>HYPERLINK("https://klasma.github.io/Logging_VASTERVIK/klagomålsmail/A 69632-2020.docx")</f>
        <v/>
      </c>
      <c r="X74">
        <f>HYPERLINK("https://klasma.github.io/Logging_VASTERVIK/tillsyn/A 69632-2020.docx")</f>
        <v/>
      </c>
      <c r="Y74">
        <f>HYPERLINK("https://klasma.github.io/Logging_VASTERVIK/tillsynsmail/A 69632-2020.docx")</f>
        <v/>
      </c>
    </row>
    <row r="75" ht="15" customHeight="1">
      <c r="A75" t="inlineStr">
        <is>
          <t>A 20233-2021</t>
        </is>
      </c>
      <c r="B75" s="1" t="n">
        <v>44314</v>
      </c>
      <c r="C75" s="1" t="n">
        <v>45171</v>
      </c>
      <c r="D75" t="inlineStr">
        <is>
          <t>KALMAR LÄN</t>
        </is>
      </c>
      <c r="E75" t="inlineStr">
        <is>
          <t>VÄSTERVIK</t>
        </is>
      </c>
      <c r="F75" t="inlineStr">
        <is>
          <t>Holmen skog AB</t>
        </is>
      </c>
      <c r="G75" t="n">
        <v>11.8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Skogsklocka</t>
        </is>
      </c>
      <c r="S75">
        <f>HYPERLINK("https://klasma.github.io/Logging_VASTERVIK/artfynd/A 20233-2021.xlsx")</f>
        <v/>
      </c>
      <c r="T75">
        <f>HYPERLINK("https://klasma.github.io/Logging_VASTERVIK/kartor/A 20233-2021.png")</f>
        <v/>
      </c>
      <c r="V75">
        <f>HYPERLINK("https://klasma.github.io/Logging_VASTERVIK/klagomål/A 20233-2021.docx")</f>
        <v/>
      </c>
      <c r="W75">
        <f>HYPERLINK("https://klasma.github.io/Logging_VASTERVIK/klagomålsmail/A 20233-2021.docx")</f>
        <v/>
      </c>
      <c r="X75">
        <f>HYPERLINK("https://klasma.github.io/Logging_VASTERVIK/tillsyn/A 20233-2021.docx")</f>
        <v/>
      </c>
      <c r="Y75">
        <f>HYPERLINK("https://klasma.github.io/Logging_VASTERVIK/tillsynsmail/A 20233-2021.docx")</f>
        <v/>
      </c>
    </row>
    <row r="76" ht="15" customHeight="1">
      <c r="A76" t="inlineStr">
        <is>
          <t>A 24048-2021</t>
        </is>
      </c>
      <c r="B76" s="1" t="n">
        <v>44336</v>
      </c>
      <c r="C76" s="1" t="n">
        <v>45171</v>
      </c>
      <c r="D76" t="inlineStr">
        <is>
          <t>KALMAR LÄN</t>
        </is>
      </c>
      <c r="E76" t="inlineStr">
        <is>
          <t>VÄSTERVIK</t>
        </is>
      </c>
      <c r="G76" t="n">
        <v>3.5</v>
      </c>
      <c r="H76" t="n">
        <v>1</v>
      </c>
      <c r="I76" t="n">
        <v>0</v>
      </c>
      <c r="J76" t="n">
        <v>0</v>
      </c>
      <c r="K76" t="n">
        <v>1</v>
      </c>
      <c r="L76" t="n">
        <v>0</v>
      </c>
      <c r="M76" t="n">
        <v>0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Knärot</t>
        </is>
      </c>
      <c r="S76">
        <f>HYPERLINK("https://klasma.github.io/Logging_VASTERVIK/artfynd/A 24048-2021.xlsx")</f>
        <v/>
      </c>
      <c r="T76">
        <f>HYPERLINK("https://klasma.github.io/Logging_VASTERVIK/kartor/A 24048-2021.png")</f>
        <v/>
      </c>
      <c r="U76">
        <f>HYPERLINK("https://klasma.github.io/Logging_VASTERVIK/knärot/A 24048-2021.png")</f>
        <v/>
      </c>
      <c r="V76">
        <f>HYPERLINK("https://klasma.github.io/Logging_VASTERVIK/klagomål/A 24048-2021.docx")</f>
        <v/>
      </c>
      <c r="W76">
        <f>HYPERLINK("https://klasma.github.io/Logging_VASTERVIK/klagomålsmail/A 24048-2021.docx")</f>
        <v/>
      </c>
      <c r="X76">
        <f>HYPERLINK("https://klasma.github.io/Logging_VASTERVIK/tillsyn/A 24048-2021.docx")</f>
        <v/>
      </c>
      <c r="Y76">
        <f>HYPERLINK("https://klasma.github.io/Logging_VASTERVIK/tillsynsmail/A 24048-2021.docx")</f>
        <v/>
      </c>
    </row>
    <row r="77" ht="15" customHeight="1">
      <c r="A77" t="inlineStr">
        <is>
          <t>A 25447-2021</t>
        </is>
      </c>
      <c r="B77" s="1" t="n">
        <v>44342</v>
      </c>
      <c r="C77" s="1" t="n">
        <v>45171</v>
      </c>
      <c r="D77" t="inlineStr">
        <is>
          <t>KALMAR LÄN</t>
        </is>
      </c>
      <c r="E77" t="inlineStr">
        <is>
          <t>VÄSTERVIK</t>
        </is>
      </c>
      <c r="F77" t="inlineStr">
        <is>
          <t>Holmen skog AB</t>
        </is>
      </c>
      <c r="G77" t="n">
        <v>9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25447-2021.xlsx")</f>
        <v/>
      </c>
      <c r="T77">
        <f>HYPERLINK("https://klasma.github.io/Logging_VASTERVIK/kartor/A 25447-2021.png")</f>
        <v/>
      </c>
      <c r="U77">
        <f>HYPERLINK("https://klasma.github.io/Logging_VASTERVIK/knärot/A 25447-2021.png")</f>
        <v/>
      </c>
      <c r="V77">
        <f>HYPERLINK("https://klasma.github.io/Logging_VASTERVIK/klagomål/A 25447-2021.docx")</f>
        <v/>
      </c>
      <c r="W77">
        <f>HYPERLINK("https://klasma.github.io/Logging_VASTERVIK/klagomålsmail/A 25447-2021.docx")</f>
        <v/>
      </c>
      <c r="X77">
        <f>HYPERLINK("https://klasma.github.io/Logging_VASTERVIK/tillsyn/A 25447-2021.docx")</f>
        <v/>
      </c>
      <c r="Y77">
        <f>HYPERLINK("https://klasma.github.io/Logging_VASTERVIK/tillsynsmail/A 25447-2021.docx")</f>
        <v/>
      </c>
    </row>
    <row r="78" ht="15" customHeight="1">
      <c r="A78" t="inlineStr">
        <is>
          <t>A 25439-2021</t>
        </is>
      </c>
      <c r="B78" s="1" t="n">
        <v>44342</v>
      </c>
      <c r="C78" s="1" t="n">
        <v>45171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2.4</v>
      </c>
      <c r="H78" t="n">
        <v>1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Grön sköldmossa</t>
        </is>
      </c>
      <c r="S78">
        <f>HYPERLINK("https://klasma.github.io/Logging_VASTERVIK/artfynd/A 25439-2021.xlsx")</f>
        <v/>
      </c>
      <c r="T78">
        <f>HYPERLINK("https://klasma.github.io/Logging_VASTERVIK/kartor/A 25439-2021.png")</f>
        <v/>
      </c>
      <c r="V78">
        <f>HYPERLINK("https://klasma.github.io/Logging_VASTERVIK/klagomål/A 25439-2021.docx")</f>
        <v/>
      </c>
      <c r="W78">
        <f>HYPERLINK("https://klasma.github.io/Logging_VASTERVIK/klagomålsmail/A 25439-2021.docx")</f>
        <v/>
      </c>
      <c r="X78">
        <f>HYPERLINK("https://klasma.github.io/Logging_VASTERVIK/tillsyn/A 25439-2021.docx")</f>
        <v/>
      </c>
      <c r="Y78">
        <f>HYPERLINK("https://klasma.github.io/Logging_VASTERVIK/tillsynsmail/A 25439-2021.docx")</f>
        <v/>
      </c>
    </row>
    <row r="79" ht="15" customHeight="1">
      <c r="A79" t="inlineStr">
        <is>
          <t>A 25594-2021</t>
        </is>
      </c>
      <c r="B79" s="1" t="n">
        <v>44343</v>
      </c>
      <c r="C79" s="1" t="n">
        <v>45171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3.2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HYPERLINK("https://klasma.github.io/Logging_VASTERVIK/artfynd/A 25594-2021.xlsx")</f>
        <v/>
      </c>
      <c r="T79">
        <f>HYPERLINK("https://klasma.github.io/Logging_VASTERVIK/kartor/A 25594-2021.png")</f>
        <v/>
      </c>
      <c r="U79">
        <f>HYPERLINK("https://klasma.github.io/Logging_VASTERVIK/knärot/A 25594-2021.png")</f>
        <v/>
      </c>
      <c r="V79">
        <f>HYPERLINK("https://klasma.github.io/Logging_VASTERVIK/klagomål/A 25594-2021.docx")</f>
        <v/>
      </c>
      <c r="W79">
        <f>HYPERLINK("https://klasma.github.io/Logging_VASTERVIK/klagomålsmail/A 25594-2021.docx")</f>
        <v/>
      </c>
      <c r="X79">
        <f>HYPERLINK("https://klasma.github.io/Logging_VASTERVIK/tillsyn/A 25594-2021.docx")</f>
        <v/>
      </c>
      <c r="Y79">
        <f>HYPERLINK("https://klasma.github.io/Logging_VASTERVIK/tillsynsmail/A 25594-2021.docx")</f>
        <v/>
      </c>
    </row>
    <row r="80" ht="15" customHeight="1">
      <c r="A80" t="inlineStr">
        <is>
          <t>A 29455-2021</t>
        </is>
      </c>
      <c r="B80" s="1" t="n">
        <v>44361</v>
      </c>
      <c r="C80" s="1" t="n">
        <v>45171</v>
      </c>
      <c r="D80" t="inlineStr">
        <is>
          <t>KALMAR LÄN</t>
        </is>
      </c>
      <c r="E80" t="inlineStr">
        <is>
          <t>VÄSTERVIK</t>
        </is>
      </c>
      <c r="F80" t="inlineStr">
        <is>
          <t>Övriga Aktiebolag</t>
        </is>
      </c>
      <c r="G80" t="n">
        <v>3.1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29455-2021.xlsx")</f>
        <v/>
      </c>
      <c r="T80">
        <f>HYPERLINK("https://klasma.github.io/Logging_VASTERVIK/kartor/A 29455-2021.png")</f>
        <v/>
      </c>
      <c r="U80">
        <f>HYPERLINK("https://klasma.github.io/Logging_VASTERVIK/knärot/A 29455-2021.png")</f>
        <v/>
      </c>
      <c r="V80">
        <f>HYPERLINK("https://klasma.github.io/Logging_VASTERVIK/klagomål/A 29455-2021.docx")</f>
        <v/>
      </c>
      <c r="W80">
        <f>HYPERLINK("https://klasma.github.io/Logging_VASTERVIK/klagomålsmail/A 29455-2021.docx")</f>
        <v/>
      </c>
      <c r="X80">
        <f>HYPERLINK("https://klasma.github.io/Logging_VASTERVIK/tillsyn/A 29455-2021.docx")</f>
        <v/>
      </c>
      <c r="Y80">
        <f>HYPERLINK("https://klasma.github.io/Logging_VASTERVIK/tillsynsmail/A 29455-2021.docx")</f>
        <v/>
      </c>
    </row>
    <row r="81" ht="15" customHeight="1">
      <c r="A81" t="inlineStr">
        <is>
          <t>A 31315-2021</t>
        </is>
      </c>
      <c r="B81" s="1" t="n">
        <v>44368</v>
      </c>
      <c r="C81" s="1" t="n">
        <v>45171</v>
      </c>
      <c r="D81" t="inlineStr">
        <is>
          <t>KALMAR LÄN</t>
        </is>
      </c>
      <c r="E81" t="inlineStr">
        <is>
          <t>VÄSTERVIK</t>
        </is>
      </c>
      <c r="G81" t="n">
        <v>3.3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31315-2021.xlsx")</f>
        <v/>
      </c>
      <c r="T81">
        <f>HYPERLINK("https://klasma.github.io/Logging_VASTERVIK/kartor/A 31315-2021.png")</f>
        <v/>
      </c>
      <c r="U81">
        <f>HYPERLINK("https://klasma.github.io/Logging_VASTERVIK/knärot/A 31315-2021.png")</f>
        <v/>
      </c>
      <c r="V81">
        <f>HYPERLINK("https://klasma.github.io/Logging_VASTERVIK/klagomål/A 31315-2021.docx")</f>
        <v/>
      </c>
      <c r="W81">
        <f>HYPERLINK("https://klasma.github.io/Logging_VASTERVIK/klagomålsmail/A 31315-2021.docx")</f>
        <v/>
      </c>
      <c r="X81">
        <f>HYPERLINK("https://klasma.github.io/Logging_VASTERVIK/tillsyn/A 31315-2021.docx")</f>
        <v/>
      </c>
      <c r="Y81">
        <f>HYPERLINK("https://klasma.github.io/Logging_VASTERVIK/tillsynsmail/A 31315-2021.docx")</f>
        <v/>
      </c>
    </row>
    <row r="82" ht="15" customHeight="1">
      <c r="A82" t="inlineStr">
        <is>
          <t>A 37438-2021</t>
        </is>
      </c>
      <c r="B82" s="1" t="n">
        <v>44398</v>
      </c>
      <c r="C82" s="1" t="n">
        <v>45171</v>
      </c>
      <c r="D82" t="inlineStr">
        <is>
          <t>KALMAR LÄN</t>
        </is>
      </c>
      <c r="E82" t="inlineStr">
        <is>
          <t>VÄSTERVIK</t>
        </is>
      </c>
      <c r="G82" t="n">
        <v>14.3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37438-2021.xlsx")</f>
        <v/>
      </c>
      <c r="T82">
        <f>HYPERLINK("https://klasma.github.io/Logging_VASTERVIK/kartor/A 37438-2021.png")</f>
        <v/>
      </c>
      <c r="U82">
        <f>HYPERLINK("https://klasma.github.io/Logging_VASTERVIK/knärot/A 37438-2021.png")</f>
        <v/>
      </c>
      <c r="V82">
        <f>HYPERLINK("https://klasma.github.io/Logging_VASTERVIK/klagomål/A 37438-2021.docx")</f>
        <v/>
      </c>
      <c r="W82">
        <f>HYPERLINK("https://klasma.github.io/Logging_VASTERVIK/klagomålsmail/A 37438-2021.docx")</f>
        <v/>
      </c>
      <c r="X82">
        <f>HYPERLINK("https://klasma.github.io/Logging_VASTERVIK/tillsyn/A 37438-2021.docx")</f>
        <v/>
      </c>
      <c r="Y82">
        <f>HYPERLINK("https://klasma.github.io/Logging_VASTERVIK/tillsynsmail/A 37438-2021.docx")</f>
        <v/>
      </c>
    </row>
    <row r="83" ht="15" customHeight="1">
      <c r="A83" t="inlineStr">
        <is>
          <t>A 44635-2021</t>
        </is>
      </c>
      <c r="B83" s="1" t="n">
        <v>44437</v>
      </c>
      <c r="C83" s="1" t="n">
        <v>45171</v>
      </c>
      <c r="D83" t="inlineStr">
        <is>
          <t>KALMAR LÄN</t>
        </is>
      </c>
      <c r="E83" t="inlineStr">
        <is>
          <t>VÄSTERVIK</t>
        </is>
      </c>
      <c r="G83" t="n">
        <v>0.9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Brandticka</t>
        </is>
      </c>
      <c r="S83">
        <f>HYPERLINK("https://klasma.github.io/Logging_VASTERVIK/artfynd/A 44635-2021.xlsx")</f>
        <v/>
      </c>
      <c r="T83">
        <f>HYPERLINK("https://klasma.github.io/Logging_VASTERVIK/kartor/A 44635-2021.png")</f>
        <v/>
      </c>
      <c r="V83">
        <f>HYPERLINK("https://klasma.github.io/Logging_VASTERVIK/klagomål/A 44635-2021.docx")</f>
        <v/>
      </c>
      <c r="W83">
        <f>HYPERLINK("https://klasma.github.io/Logging_VASTERVIK/klagomålsmail/A 44635-2021.docx")</f>
        <v/>
      </c>
      <c r="X83">
        <f>HYPERLINK("https://klasma.github.io/Logging_VASTERVIK/tillsyn/A 44635-2021.docx")</f>
        <v/>
      </c>
      <c r="Y83">
        <f>HYPERLINK("https://klasma.github.io/Logging_VASTERVIK/tillsynsmail/A 44635-2021.docx")</f>
        <v/>
      </c>
    </row>
    <row r="84" ht="15" customHeight="1">
      <c r="A84" t="inlineStr">
        <is>
          <t>A 47860-2021</t>
        </is>
      </c>
      <c r="B84" s="1" t="n">
        <v>44448</v>
      </c>
      <c r="C84" s="1" t="n">
        <v>45171</v>
      </c>
      <c r="D84" t="inlineStr">
        <is>
          <t>KALMAR LÄN</t>
        </is>
      </c>
      <c r="E84" t="inlineStr">
        <is>
          <t>VÄSTERVIK</t>
        </is>
      </c>
      <c r="G84" t="n">
        <v>2.8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Tallticka</t>
        </is>
      </c>
      <c r="S84">
        <f>HYPERLINK("https://klasma.github.io/Logging_VASTERVIK/artfynd/A 47860-2021.xlsx")</f>
        <v/>
      </c>
      <c r="T84">
        <f>HYPERLINK("https://klasma.github.io/Logging_VASTERVIK/kartor/A 47860-2021.png")</f>
        <v/>
      </c>
      <c r="V84">
        <f>HYPERLINK("https://klasma.github.io/Logging_VASTERVIK/klagomål/A 47860-2021.docx")</f>
        <v/>
      </c>
      <c r="W84">
        <f>HYPERLINK("https://klasma.github.io/Logging_VASTERVIK/klagomålsmail/A 47860-2021.docx")</f>
        <v/>
      </c>
      <c r="X84">
        <f>HYPERLINK("https://klasma.github.io/Logging_VASTERVIK/tillsyn/A 47860-2021.docx")</f>
        <v/>
      </c>
      <c r="Y84">
        <f>HYPERLINK("https://klasma.github.io/Logging_VASTERVIK/tillsynsmail/A 47860-2021.docx")</f>
        <v/>
      </c>
    </row>
    <row r="85" ht="15" customHeight="1">
      <c r="A85" t="inlineStr">
        <is>
          <t>A 52831-2021</t>
        </is>
      </c>
      <c r="B85" s="1" t="n">
        <v>44467</v>
      </c>
      <c r="C85" s="1" t="n">
        <v>45171</v>
      </c>
      <c r="D85" t="inlineStr">
        <is>
          <t>KALMAR LÄN</t>
        </is>
      </c>
      <c r="E85" t="inlineStr">
        <is>
          <t>VÄSTERVIK</t>
        </is>
      </c>
      <c r="G85" t="n">
        <v>0.8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52831-2021.xlsx")</f>
        <v/>
      </c>
      <c r="T85">
        <f>HYPERLINK("https://klasma.github.io/Logging_VASTERVIK/kartor/A 52831-2021.png")</f>
        <v/>
      </c>
      <c r="V85">
        <f>HYPERLINK("https://klasma.github.io/Logging_VASTERVIK/klagomål/A 52831-2021.docx")</f>
        <v/>
      </c>
      <c r="W85">
        <f>HYPERLINK("https://klasma.github.io/Logging_VASTERVIK/klagomålsmail/A 52831-2021.docx")</f>
        <v/>
      </c>
      <c r="X85">
        <f>HYPERLINK("https://klasma.github.io/Logging_VASTERVIK/tillsyn/A 52831-2021.docx")</f>
        <v/>
      </c>
      <c r="Y85">
        <f>HYPERLINK("https://klasma.github.io/Logging_VASTERVIK/tillsynsmail/A 52831-2021.docx")</f>
        <v/>
      </c>
    </row>
    <row r="86" ht="15" customHeight="1">
      <c r="A86" t="inlineStr">
        <is>
          <t>A 53738-2021</t>
        </is>
      </c>
      <c r="B86" s="1" t="n">
        <v>44467</v>
      </c>
      <c r="C86" s="1" t="n">
        <v>45171</v>
      </c>
      <c r="D86" t="inlineStr">
        <is>
          <t>KALMAR LÄN</t>
        </is>
      </c>
      <c r="E86" t="inlineStr">
        <is>
          <t>VÄSTERVIK</t>
        </is>
      </c>
      <c r="G86" t="n">
        <v>2.8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HYPERLINK("https://klasma.github.io/Logging_VASTERVIK/artfynd/A 53738-2021.xlsx")</f>
        <v/>
      </c>
      <c r="T86">
        <f>HYPERLINK("https://klasma.github.io/Logging_VASTERVIK/kartor/A 53738-2021.png")</f>
        <v/>
      </c>
      <c r="U86">
        <f>HYPERLINK("https://klasma.github.io/Logging_VASTERVIK/knärot/A 53738-2021.png")</f>
        <v/>
      </c>
      <c r="V86">
        <f>HYPERLINK("https://klasma.github.io/Logging_VASTERVIK/klagomål/A 53738-2021.docx")</f>
        <v/>
      </c>
      <c r="W86">
        <f>HYPERLINK("https://klasma.github.io/Logging_VASTERVIK/klagomålsmail/A 53738-2021.docx")</f>
        <v/>
      </c>
      <c r="X86">
        <f>HYPERLINK("https://klasma.github.io/Logging_VASTERVIK/tillsyn/A 53738-2021.docx")</f>
        <v/>
      </c>
      <c r="Y86">
        <f>HYPERLINK("https://klasma.github.io/Logging_VASTERVIK/tillsynsmail/A 53738-2021.docx")</f>
        <v/>
      </c>
    </row>
    <row r="87" ht="15" customHeight="1">
      <c r="A87" t="inlineStr">
        <is>
          <t>A 56618-2021</t>
        </is>
      </c>
      <c r="B87" s="1" t="n">
        <v>44480</v>
      </c>
      <c r="C87" s="1" t="n">
        <v>45171</v>
      </c>
      <c r="D87" t="inlineStr">
        <is>
          <t>KALMAR LÄN</t>
        </is>
      </c>
      <c r="E87" t="inlineStr">
        <is>
          <t>VÄSTERVIK</t>
        </is>
      </c>
      <c r="G87" t="n">
        <v>1.5</v>
      </c>
      <c r="H87" t="n">
        <v>0</v>
      </c>
      <c r="I87" t="n">
        <v>0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1</v>
      </c>
      <c r="R87" s="2" t="inlineStr">
        <is>
          <t>Tallticka</t>
        </is>
      </c>
      <c r="S87">
        <f>HYPERLINK("https://klasma.github.io/Logging_VASTERVIK/artfynd/A 56618-2021.xlsx")</f>
        <v/>
      </c>
      <c r="T87">
        <f>HYPERLINK("https://klasma.github.io/Logging_VASTERVIK/kartor/A 56618-2021.png")</f>
        <v/>
      </c>
      <c r="V87">
        <f>HYPERLINK("https://klasma.github.io/Logging_VASTERVIK/klagomål/A 56618-2021.docx")</f>
        <v/>
      </c>
      <c r="W87">
        <f>HYPERLINK("https://klasma.github.io/Logging_VASTERVIK/klagomålsmail/A 56618-2021.docx")</f>
        <v/>
      </c>
      <c r="X87">
        <f>HYPERLINK("https://klasma.github.io/Logging_VASTERVIK/tillsyn/A 56618-2021.docx")</f>
        <v/>
      </c>
      <c r="Y87">
        <f>HYPERLINK("https://klasma.github.io/Logging_VASTERVIK/tillsynsmail/A 56618-2021.docx")</f>
        <v/>
      </c>
    </row>
    <row r="88" ht="15" customHeight="1">
      <c r="A88" t="inlineStr">
        <is>
          <t>A 61319-2021</t>
        </is>
      </c>
      <c r="B88" s="1" t="n">
        <v>44498</v>
      </c>
      <c r="C88" s="1" t="n">
        <v>45171</v>
      </c>
      <c r="D88" t="inlineStr">
        <is>
          <t>KALMAR LÄN</t>
        </is>
      </c>
      <c r="E88" t="inlineStr">
        <is>
          <t>VÄSTERVIK</t>
        </is>
      </c>
      <c r="G88" t="n">
        <v>2.2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1</v>
      </c>
      <c r="R88" s="2" t="inlineStr">
        <is>
          <t>Ekoxe</t>
        </is>
      </c>
      <c r="S88">
        <f>HYPERLINK("https://klasma.github.io/Logging_VASTERVIK/artfynd/A 61319-2021.xlsx")</f>
        <v/>
      </c>
      <c r="T88">
        <f>HYPERLINK("https://klasma.github.io/Logging_VASTERVIK/kartor/A 61319-2021.png")</f>
        <v/>
      </c>
      <c r="V88">
        <f>HYPERLINK("https://klasma.github.io/Logging_VASTERVIK/klagomål/A 61319-2021.docx")</f>
        <v/>
      </c>
      <c r="W88">
        <f>HYPERLINK("https://klasma.github.io/Logging_VASTERVIK/klagomålsmail/A 61319-2021.docx")</f>
        <v/>
      </c>
      <c r="X88">
        <f>HYPERLINK("https://klasma.github.io/Logging_VASTERVIK/tillsyn/A 61319-2021.docx")</f>
        <v/>
      </c>
      <c r="Y88">
        <f>HYPERLINK("https://klasma.github.io/Logging_VASTERVIK/tillsynsmail/A 61319-2021.docx")</f>
        <v/>
      </c>
    </row>
    <row r="89" ht="15" customHeight="1">
      <c r="A89" t="inlineStr">
        <is>
          <t>A 1677-2022</t>
        </is>
      </c>
      <c r="B89" s="1" t="n">
        <v>44574</v>
      </c>
      <c r="C89" s="1" t="n">
        <v>45171</v>
      </c>
      <c r="D89" t="inlineStr">
        <is>
          <t>KALMAR LÄN</t>
        </is>
      </c>
      <c r="E89" t="inlineStr">
        <is>
          <t>VÄSTERVIK</t>
        </is>
      </c>
      <c r="G89" t="n">
        <v>3.3</v>
      </c>
      <c r="H89" t="n">
        <v>1</v>
      </c>
      <c r="I89" t="n">
        <v>0</v>
      </c>
      <c r="J89" t="n">
        <v>0</v>
      </c>
      <c r="K89" t="n">
        <v>1</v>
      </c>
      <c r="L89" t="n">
        <v>0</v>
      </c>
      <c r="M89" t="n">
        <v>0</v>
      </c>
      <c r="N89" t="n">
        <v>0</v>
      </c>
      <c r="O89" t="n">
        <v>1</v>
      </c>
      <c r="P89" t="n">
        <v>1</v>
      </c>
      <c r="Q89" t="n">
        <v>1</v>
      </c>
      <c r="R89" s="2" t="inlineStr">
        <is>
          <t>Knärot</t>
        </is>
      </c>
      <c r="S89">
        <f>HYPERLINK("https://klasma.github.io/Logging_VASTERVIK/artfynd/A 1677-2022.xlsx")</f>
        <v/>
      </c>
      <c r="T89">
        <f>HYPERLINK("https://klasma.github.io/Logging_VASTERVIK/kartor/A 1677-2022.png")</f>
        <v/>
      </c>
      <c r="U89">
        <f>HYPERLINK("https://klasma.github.io/Logging_VASTERVIK/knärot/A 1677-2022.png")</f>
        <v/>
      </c>
      <c r="V89">
        <f>HYPERLINK("https://klasma.github.io/Logging_VASTERVIK/klagomål/A 1677-2022.docx")</f>
        <v/>
      </c>
      <c r="W89">
        <f>HYPERLINK("https://klasma.github.io/Logging_VASTERVIK/klagomålsmail/A 1677-2022.docx")</f>
        <v/>
      </c>
      <c r="X89">
        <f>HYPERLINK("https://klasma.github.io/Logging_VASTERVIK/tillsyn/A 1677-2022.docx")</f>
        <v/>
      </c>
      <c r="Y89">
        <f>HYPERLINK("https://klasma.github.io/Logging_VASTERVIK/tillsynsmail/A 1677-2022.docx")</f>
        <v/>
      </c>
    </row>
    <row r="90" ht="15" customHeight="1">
      <c r="A90" t="inlineStr">
        <is>
          <t>A 12662-2022</t>
        </is>
      </c>
      <c r="B90" s="1" t="n">
        <v>44641</v>
      </c>
      <c r="C90" s="1" t="n">
        <v>45171</v>
      </c>
      <c r="D90" t="inlineStr">
        <is>
          <t>KALMAR LÄN</t>
        </is>
      </c>
      <c r="E90" t="inlineStr">
        <is>
          <t>VÄSTERVIK</t>
        </is>
      </c>
      <c r="G90" t="n">
        <v>2.1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1</v>
      </c>
      <c r="R90" s="2" t="inlineStr">
        <is>
          <t>Blåmossa</t>
        </is>
      </c>
      <c r="S90">
        <f>HYPERLINK("https://klasma.github.io/Logging_VASTERVIK/artfynd/A 12662-2022.xlsx")</f>
        <v/>
      </c>
      <c r="T90">
        <f>HYPERLINK("https://klasma.github.io/Logging_VASTERVIK/kartor/A 12662-2022.png")</f>
        <v/>
      </c>
      <c r="V90">
        <f>HYPERLINK("https://klasma.github.io/Logging_VASTERVIK/klagomål/A 12662-2022.docx")</f>
        <v/>
      </c>
      <c r="W90">
        <f>HYPERLINK("https://klasma.github.io/Logging_VASTERVIK/klagomålsmail/A 12662-2022.docx")</f>
        <v/>
      </c>
      <c r="X90">
        <f>HYPERLINK("https://klasma.github.io/Logging_VASTERVIK/tillsyn/A 12662-2022.docx")</f>
        <v/>
      </c>
      <c r="Y90">
        <f>HYPERLINK("https://klasma.github.io/Logging_VASTERVIK/tillsynsmail/A 12662-2022.docx")</f>
        <v/>
      </c>
    </row>
    <row r="91" ht="15" customHeight="1">
      <c r="A91" t="inlineStr">
        <is>
          <t>A 15378-2022</t>
        </is>
      </c>
      <c r="B91" s="1" t="n">
        <v>44659</v>
      </c>
      <c r="C91" s="1" t="n">
        <v>45171</v>
      </c>
      <c r="D91" t="inlineStr">
        <is>
          <t>KALMAR LÄN</t>
        </is>
      </c>
      <c r="E91" t="inlineStr">
        <is>
          <t>VÄSTERVIK</t>
        </is>
      </c>
      <c r="G91" t="n">
        <v>1.4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Klofibbla</t>
        </is>
      </c>
      <c r="S91">
        <f>HYPERLINK("https://klasma.github.io/Logging_VASTERVIK/artfynd/A 15378-2022.xlsx")</f>
        <v/>
      </c>
      <c r="T91">
        <f>HYPERLINK("https://klasma.github.io/Logging_VASTERVIK/kartor/A 15378-2022.png")</f>
        <v/>
      </c>
      <c r="V91">
        <f>HYPERLINK("https://klasma.github.io/Logging_VASTERVIK/klagomål/A 15378-2022.docx")</f>
        <v/>
      </c>
      <c r="W91">
        <f>HYPERLINK("https://klasma.github.io/Logging_VASTERVIK/klagomålsmail/A 15378-2022.docx")</f>
        <v/>
      </c>
      <c r="X91">
        <f>HYPERLINK("https://klasma.github.io/Logging_VASTERVIK/tillsyn/A 15378-2022.docx")</f>
        <v/>
      </c>
      <c r="Y91">
        <f>HYPERLINK("https://klasma.github.io/Logging_VASTERVIK/tillsynsmail/A 15378-2022.docx")</f>
        <v/>
      </c>
    </row>
    <row r="92" ht="15" customHeight="1">
      <c r="A92" t="inlineStr">
        <is>
          <t>A 19900-2022</t>
        </is>
      </c>
      <c r="B92" s="1" t="n">
        <v>44697</v>
      </c>
      <c r="C92" s="1" t="n">
        <v>45171</v>
      </c>
      <c r="D92" t="inlineStr">
        <is>
          <t>KALMAR LÄN</t>
        </is>
      </c>
      <c r="E92" t="inlineStr">
        <is>
          <t>VÄSTERVIK</t>
        </is>
      </c>
      <c r="G92" t="n">
        <v>2.4</v>
      </c>
      <c r="H92" t="n">
        <v>1</v>
      </c>
      <c r="I92" t="n">
        <v>0</v>
      </c>
      <c r="J92" t="n">
        <v>0</v>
      </c>
      <c r="K92" t="n">
        <v>1</v>
      </c>
      <c r="L92" t="n">
        <v>0</v>
      </c>
      <c r="M92" t="n">
        <v>0</v>
      </c>
      <c r="N92" t="n">
        <v>0</v>
      </c>
      <c r="O92" t="n">
        <v>1</v>
      </c>
      <c r="P92" t="n">
        <v>1</v>
      </c>
      <c r="Q92" t="n">
        <v>1</v>
      </c>
      <c r="R92" s="2" t="inlineStr">
        <is>
          <t>Knärot</t>
        </is>
      </c>
      <c r="S92">
        <f>HYPERLINK("https://klasma.github.io/Logging_VASTERVIK/artfynd/A 19900-2022.xlsx")</f>
        <v/>
      </c>
      <c r="T92">
        <f>HYPERLINK("https://klasma.github.io/Logging_VASTERVIK/kartor/A 19900-2022.png")</f>
        <v/>
      </c>
      <c r="U92">
        <f>HYPERLINK("https://klasma.github.io/Logging_VASTERVIK/knärot/A 19900-2022.png")</f>
        <v/>
      </c>
      <c r="V92">
        <f>HYPERLINK("https://klasma.github.io/Logging_VASTERVIK/klagomål/A 19900-2022.docx")</f>
        <v/>
      </c>
      <c r="W92">
        <f>HYPERLINK("https://klasma.github.io/Logging_VASTERVIK/klagomålsmail/A 19900-2022.docx")</f>
        <v/>
      </c>
      <c r="X92">
        <f>HYPERLINK("https://klasma.github.io/Logging_VASTERVIK/tillsyn/A 19900-2022.docx")</f>
        <v/>
      </c>
      <c r="Y92">
        <f>HYPERLINK("https://klasma.github.io/Logging_VASTERVIK/tillsynsmail/A 19900-2022.docx")</f>
        <v/>
      </c>
    </row>
    <row r="93" ht="15" customHeight="1">
      <c r="A93" t="inlineStr">
        <is>
          <t>A 26056-2022</t>
        </is>
      </c>
      <c r="B93" s="1" t="n">
        <v>44734</v>
      </c>
      <c r="C93" s="1" t="n">
        <v>45171</v>
      </c>
      <c r="D93" t="inlineStr">
        <is>
          <t>KALMAR LÄN</t>
        </is>
      </c>
      <c r="E93" t="inlineStr">
        <is>
          <t>VÄSTERVIK</t>
        </is>
      </c>
      <c r="G93" t="n">
        <v>1.1</v>
      </c>
      <c r="H93" t="n">
        <v>0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Slåtterfibbla</t>
        </is>
      </c>
      <c r="S93">
        <f>HYPERLINK("https://klasma.github.io/Logging_VASTERVIK/artfynd/A 26056-2022.xlsx")</f>
        <v/>
      </c>
      <c r="T93">
        <f>HYPERLINK("https://klasma.github.io/Logging_VASTERVIK/kartor/A 26056-2022.png")</f>
        <v/>
      </c>
      <c r="V93">
        <f>HYPERLINK("https://klasma.github.io/Logging_VASTERVIK/klagomål/A 26056-2022.docx")</f>
        <v/>
      </c>
      <c r="W93">
        <f>HYPERLINK("https://klasma.github.io/Logging_VASTERVIK/klagomålsmail/A 26056-2022.docx")</f>
        <v/>
      </c>
      <c r="X93">
        <f>HYPERLINK("https://klasma.github.io/Logging_VASTERVIK/tillsyn/A 26056-2022.docx")</f>
        <v/>
      </c>
      <c r="Y93">
        <f>HYPERLINK("https://klasma.github.io/Logging_VASTERVIK/tillsynsmail/A 26056-2022.docx")</f>
        <v/>
      </c>
    </row>
    <row r="94" ht="15" customHeight="1">
      <c r="A94" t="inlineStr">
        <is>
          <t>A 40924-2022</t>
        </is>
      </c>
      <c r="B94" s="1" t="n">
        <v>44825</v>
      </c>
      <c r="C94" s="1" t="n">
        <v>45171</v>
      </c>
      <c r="D94" t="inlineStr">
        <is>
          <t>KALMAR LÄN</t>
        </is>
      </c>
      <c r="E94" t="inlineStr">
        <is>
          <t>VÄSTERVIK</t>
        </is>
      </c>
      <c r="F94" t="inlineStr">
        <is>
          <t>Sveaskog</t>
        </is>
      </c>
      <c r="G94" t="n">
        <v>0.5</v>
      </c>
      <c r="H94" t="n">
        <v>1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Barbastell</t>
        </is>
      </c>
      <c r="S94">
        <f>HYPERLINK("https://klasma.github.io/Logging_VASTERVIK/artfynd/A 40924-2022.xlsx")</f>
        <v/>
      </c>
      <c r="T94">
        <f>HYPERLINK("https://klasma.github.io/Logging_VASTERVIK/kartor/A 40924-2022.png")</f>
        <v/>
      </c>
      <c r="V94">
        <f>HYPERLINK("https://klasma.github.io/Logging_VASTERVIK/klagomål/A 40924-2022.docx")</f>
        <v/>
      </c>
      <c r="W94">
        <f>HYPERLINK("https://klasma.github.io/Logging_VASTERVIK/klagomålsmail/A 40924-2022.docx")</f>
        <v/>
      </c>
      <c r="X94">
        <f>HYPERLINK("https://klasma.github.io/Logging_VASTERVIK/tillsyn/A 40924-2022.docx")</f>
        <v/>
      </c>
      <c r="Y94">
        <f>HYPERLINK("https://klasma.github.io/Logging_VASTERVIK/tillsynsmail/A 40924-2022.docx")</f>
        <v/>
      </c>
    </row>
    <row r="95" ht="15" customHeight="1">
      <c r="A95" t="inlineStr">
        <is>
          <t>A 46556-2022</t>
        </is>
      </c>
      <c r="B95" s="1" t="n">
        <v>44848</v>
      </c>
      <c r="C95" s="1" t="n">
        <v>45171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1.5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Fjällig taggsvamp s.str.</t>
        </is>
      </c>
      <c r="S95">
        <f>HYPERLINK("https://klasma.github.io/Logging_VASTERVIK/artfynd/A 46556-2022.xlsx")</f>
        <v/>
      </c>
      <c r="T95">
        <f>HYPERLINK("https://klasma.github.io/Logging_VASTERVIK/kartor/A 46556-2022.png")</f>
        <v/>
      </c>
      <c r="V95">
        <f>HYPERLINK("https://klasma.github.io/Logging_VASTERVIK/klagomål/A 46556-2022.docx")</f>
        <v/>
      </c>
      <c r="W95">
        <f>HYPERLINK("https://klasma.github.io/Logging_VASTERVIK/klagomålsmail/A 46556-2022.docx")</f>
        <v/>
      </c>
      <c r="X95">
        <f>HYPERLINK("https://klasma.github.io/Logging_VASTERVIK/tillsyn/A 46556-2022.docx")</f>
        <v/>
      </c>
      <c r="Y95">
        <f>HYPERLINK("https://klasma.github.io/Logging_VASTERVIK/tillsynsmail/A 46556-2022.docx")</f>
        <v/>
      </c>
    </row>
    <row r="96" ht="15" customHeight="1">
      <c r="A96" t="inlineStr">
        <is>
          <t>A 46559-2022</t>
        </is>
      </c>
      <c r="B96" s="1" t="n">
        <v>44848</v>
      </c>
      <c r="C96" s="1" t="n">
        <v>45171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2.2</v>
      </c>
      <c r="H96" t="n">
        <v>1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Blåsippa</t>
        </is>
      </c>
      <c r="S96">
        <f>HYPERLINK("https://klasma.github.io/Logging_VASTERVIK/artfynd/A 46559-2022.xlsx")</f>
        <v/>
      </c>
      <c r="T96">
        <f>HYPERLINK("https://klasma.github.io/Logging_VASTERVIK/kartor/A 46559-2022.png")</f>
        <v/>
      </c>
      <c r="V96">
        <f>HYPERLINK("https://klasma.github.io/Logging_VASTERVIK/klagomål/A 46559-2022.docx")</f>
        <v/>
      </c>
      <c r="W96">
        <f>HYPERLINK("https://klasma.github.io/Logging_VASTERVIK/klagomålsmail/A 46559-2022.docx")</f>
        <v/>
      </c>
      <c r="X96">
        <f>HYPERLINK("https://klasma.github.io/Logging_VASTERVIK/tillsyn/A 46559-2022.docx")</f>
        <v/>
      </c>
      <c r="Y96">
        <f>HYPERLINK("https://klasma.github.io/Logging_VASTERVIK/tillsynsmail/A 46559-2022.docx")</f>
        <v/>
      </c>
    </row>
    <row r="97" ht="15" customHeight="1">
      <c r="A97" t="inlineStr">
        <is>
          <t>A 51024-2022</t>
        </is>
      </c>
      <c r="B97" s="1" t="n">
        <v>44867</v>
      </c>
      <c r="C97" s="1" t="n">
        <v>45171</v>
      </c>
      <c r="D97" t="inlineStr">
        <is>
          <t>KALMAR LÄN</t>
        </is>
      </c>
      <c r="E97" t="inlineStr">
        <is>
          <t>VÄSTERVIK</t>
        </is>
      </c>
      <c r="F97" t="inlineStr">
        <is>
          <t>Holmen skog AB</t>
        </is>
      </c>
      <c r="G97" t="n">
        <v>7.6</v>
      </c>
      <c r="H97" t="n">
        <v>1</v>
      </c>
      <c r="I97" t="n">
        <v>0</v>
      </c>
      <c r="J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P97" t="n">
        <v>0</v>
      </c>
      <c r="Q97" t="n">
        <v>1</v>
      </c>
      <c r="R97" s="2" t="inlineStr">
        <is>
          <t>Talltita</t>
        </is>
      </c>
      <c r="S97">
        <f>HYPERLINK("https://klasma.github.io/Logging_VASTERVIK/artfynd/A 51024-2022.xlsx")</f>
        <v/>
      </c>
      <c r="T97">
        <f>HYPERLINK("https://klasma.github.io/Logging_VASTERVIK/kartor/A 51024-2022.png")</f>
        <v/>
      </c>
      <c r="V97">
        <f>HYPERLINK("https://klasma.github.io/Logging_VASTERVIK/klagomål/A 51024-2022.docx")</f>
        <v/>
      </c>
      <c r="W97">
        <f>HYPERLINK("https://klasma.github.io/Logging_VASTERVIK/klagomålsmail/A 51024-2022.docx")</f>
        <v/>
      </c>
      <c r="X97">
        <f>HYPERLINK("https://klasma.github.io/Logging_VASTERVIK/tillsyn/A 51024-2022.docx")</f>
        <v/>
      </c>
      <c r="Y97">
        <f>HYPERLINK("https://klasma.github.io/Logging_VASTERVIK/tillsynsmail/A 51024-2022.docx")</f>
        <v/>
      </c>
    </row>
    <row r="98" ht="15" customHeight="1">
      <c r="A98" t="inlineStr">
        <is>
          <t>A 54193-2022</t>
        </is>
      </c>
      <c r="B98" s="1" t="n">
        <v>44881</v>
      </c>
      <c r="C98" s="1" t="n">
        <v>45171</v>
      </c>
      <c r="D98" t="inlineStr">
        <is>
          <t>KALMAR LÄN</t>
        </is>
      </c>
      <c r="E98" t="inlineStr">
        <is>
          <t>VÄSTERVIK</t>
        </is>
      </c>
      <c r="G98" t="n">
        <v>1.7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1</v>
      </c>
      <c r="R98" s="2" t="inlineStr">
        <is>
          <t>Murgröna</t>
        </is>
      </c>
      <c r="S98">
        <f>HYPERLINK("https://klasma.github.io/Logging_VASTERVIK/artfynd/A 54193-2022.xlsx")</f>
        <v/>
      </c>
      <c r="T98">
        <f>HYPERLINK("https://klasma.github.io/Logging_VASTERVIK/kartor/A 54193-2022.png")</f>
        <v/>
      </c>
      <c r="U98">
        <f>HYPERLINK("https://klasma.github.io/Logging_VASTERVIK/knärot/A 54193-2022.png")</f>
        <v/>
      </c>
      <c r="V98">
        <f>HYPERLINK("https://klasma.github.io/Logging_VASTERVIK/klagomål/A 54193-2022.docx")</f>
        <v/>
      </c>
      <c r="W98">
        <f>HYPERLINK("https://klasma.github.io/Logging_VASTERVIK/klagomålsmail/A 54193-2022.docx")</f>
        <v/>
      </c>
      <c r="X98">
        <f>HYPERLINK("https://klasma.github.io/Logging_VASTERVIK/tillsyn/A 54193-2022.docx")</f>
        <v/>
      </c>
      <c r="Y98">
        <f>HYPERLINK("https://klasma.github.io/Logging_VASTERVIK/tillsynsmail/A 54193-2022.docx")</f>
        <v/>
      </c>
    </row>
    <row r="99" ht="15" customHeight="1">
      <c r="A99" t="inlineStr">
        <is>
          <t>A 59178-2022</t>
        </is>
      </c>
      <c r="B99" s="1" t="n">
        <v>44904</v>
      </c>
      <c r="C99" s="1" t="n">
        <v>45171</v>
      </c>
      <c r="D99" t="inlineStr">
        <is>
          <t>KALMAR LÄN</t>
        </is>
      </c>
      <c r="E99" t="inlineStr">
        <is>
          <t>VÄSTERVIK</t>
        </is>
      </c>
      <c r="G99" t="n">
        <v>3.3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Tallticka</t>
        </is>
      </c>
      <c r="S99">
        <f>HYPERLINK("https://klasma.github.io/Logging_VASTERVIK/artfynd/A 59178-2022.xlsx")</f>
        <v/>
      </c>
      <c r="T99">
        <f>HYPERLINK("https://klasma.github.io/Logging_VASTERVIK/kartor/A 59178-2022.png")</f>
        <v/>
      </c>
      <c r="V99">
        <f>HYPERLINK("https://klasma.github.io/Logging_VASTERVIK/klagomål/A 59178-2022.docx")</f>
        <v/>
      </c>
      <c r="W99">
        <f>HYPERLINK("https://klasma.github.io/Logging_VASTERVIK/klagomålsmail/A 59178-2022.docx")</f>
        <v/>
      </c>
      <c r="X99">
        <f>HYPERLINK("https://klasma.github.io/Logging_VASTERVIK/tillsyn/A 59178-2022.docx")</f>
        <v/>
      </c>
      <c r="Y99">
        <f>HYPERLINK("https://klasma.github.io/Logging_VASTERVIK/tillsynsmail/A 59178-2022.docx")</f>
        <v/>
      </c>
    </row>
    <row r="100" ht="15" customHeight="1">
      <c r="A100" t="inlineStr">
        <is>
          <t>A 804-2023</t>
        </is>
      </c>
      <c r="B100" s="1" t="n">
        <v>44931</v>
      </c>
      <c r="C100" s="1" t="n">
        <v>45171</v>
      </c>
      <c r="D100" t="inlineStr">
        <is>
          <t>KALMAR LÄN</t>
        </is>
      </c>
      <c r="E100" t="inlineStr">
        <is>
          <t>VÄSTERVIK</t>
        </is>
      </c>
      <c r="F100" t="inlineStr">
        <is>
          <t>Holmen skog AB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Violett fingersvamp</t>
        </is>
      </c>
      <c r="S100">
        <f>HYPERLINK("https://klasma.github.io/Logging_VASTERVIK/artfynd/A 804-2023.xlsx")</f>
        <v/>
      </c>
      <c r="T100">
        <f>HYPERLINK("https://klasma.github.io/Logging_VASTERVIK/kartor/A 804-2023.png")</f>
        <v/>
      </c>
      <c r="V100">
        <f>HYPERLINK("https://klasma.github.io/Logging_VASTERVIK/klagomål/A 804-2023.docx")</f>
        <v/>
      </c>
      <c r="W100">
        <f>HYPERLINK("https://klasma.github.io/Logging_VASTERVIK/klagomålsmail/A 804-2023.docx")</f>
        <v/>
      </c>
      <c r="X100">
        <f>HYPERLINK("https://klasma.github.io/Logging_VASTERVIK/tillsyn/A 804-2023.docx")</f>
        <v/>
      </c>
      <c r="Y100">
        <f>HYPERLINK("https://klasma.github.io/Logging_VASTERVIK/tillsynsmail/A 804-2023.docx")</f>
        <v/>
      </c>
    </row>
    <row r="101" ht="15" customHeight="1">
      <c r="A101" t="inlineStr">
        <is>
          <t>A 975-2023</t>
        </is>
      </c>
      <c r="B101" s="1" t="n">
        <v>44935</v>
      </c>
      <c r="C101" s="1" t="n">
        <v>45171</v>
      </c>
      <c r="D101" t="inlineStr">
        <is>
          <t>KALMAR LÄN</t>
        </is>
      </c>
      <c r="E101" t="inlineStr">
        <is>
          <t>VÄSTERVIK</t>
        </is>
      </c>
      <c r="G101" t="n">
        <v>1.7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Läderbagge</t>
        </is>
      </c>
      <c r="S101">
        <f>HYPERLINK("https://klasma.github.io/Logging_VASTERVIK/artfynd/A 975-2023.xlsx")</f>
        <v/>
      </c>
      <c r="T101">
        <f>HYPERLINK("https://klasma.github.io/Logging_VASTERVIK/kartor/A 975-2023.png")</f>
        <v/>
      </c>
      <c r="V101">
        <f>HYPERLINK("https://klasma.github.io/Logging_VASTERVIK/klagomål/A 975-2023.docx")</f>
        <v/>
      </c>
      <c r="W101">
        <f>HYPERLINK("https://klasma.github.io/Logging_VASTERVIK/klagomålsmail/A 975-2023.docx")</f>
        <v/>
      </c>
      <c r="X101">
        <f>HYPERLINK("https://klasma.github.io/Logging_VASTERVIK/tillsyn/A 975-2023.docx")</f>
        <v/>
      </c>
      <c r="Y101">
        <f>HYPERLINK("https://klasma.github.io/Logging_VASTERVIK/tillsynsmail/A 975-2023.docx")</f>
        <v/>
      </c>
    </row>
    <row r="102" ht="15" customHeight="1">
      <c r="A102" t="inlineStr">
        <is>
          <t>A 1024-2023</t>
        </is>
      </c>
      <c r="B102" s="1" t="n">
        <v>44935</v>
      </c>
      <c r="C102" s="1" t="n">
        <v>45171</v>
      </c>
      <c r="D102" t="inlineStr">
        <is>
          <t>KALMAR LÄN</t>
        </is>
      </c>
      <c r="E102" t="inlineStr">
        <is>
          <t>VÄSTERVIK</t>
        </is>
      </c>
      <c r="F102" t="inlineStr">
        <is>
          <t>Holmen skog AB</t>
        </is>
      </c>
      <c r="G102" t="n">
        <v>1.9</v>
      </c>
      <c r="H102" t="n">
        <v>0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1</v>
      </c>
      <c r="R102" s="2" t="inlineStr">
        <is>
          <t>Ekticka</t>
        </is>
      </c>
      <c r="S102">
        <f>HYPERLINK("https://klasma.github.io/Logging_VASTERVIK/artfynd/A 1024-2023.xlsx")</f>
        <v/>
      </c>
      <c r="T102">
        <f>HYPERLINK("https://klasma.github.io/Logging_VASTERVIK/kartor/A 1024-2023.png")</f>
        <v/>
      </c>
      <c r="V102">
        <f>HYPERLINK("https://klasma.github.io/Logging_VASTERVIK/klagomål/A 1024-2023.docx")</f>
        <v/>
      </c>
      <c r="W102">
        <f>HYPERLINK("https://klasma.github.io/Logging_VASTERVIK/klagomålsmail/A 1024-2023.docx")</f>
        <v/>
      </c>
      <c r="X102">
        <f>HYPERLINK("https://klasma.github.io/Logging_VASTERVIK/tillsyn/A 1024-2023.docx")</f>
        <v/>
      </c>
      <c r="Y102">
        <f>HYPERLINK("https://klasma.github.io/Logging_VASTERVIK/tillsynsmail/A 1024-2023.docx")</f>
        <v/>
      </c>
    </row>
    <row r="103" ht="15" customHeight="1">
      <c r="A103" t="inlineStr">
        <is>
          <t>A 11729-2023</t>
        </is>
      </c>
      <c r="B103" s="1" t="n">
        <v>44994</v>
      </c>
      <c r="C103" s="1" t="n">
        <v>45171</v>
      </c>
      <c r="D103" t="inlineStr">
        <is>
          <t>KALMAR LÄN</t>
        </is>
      </c>
      <c r="E103" t="inlineStr">
        <is>
          <t>VÄSTERVIK</t>
        </is>
      </c>
      <c r="F103" t="inlineStr">
        <is>
          <t>Sveaskog</t>
        </is>
      </c>
      <c r="G103" t="n">
        <v>4.1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Bredbrämad bastardsvärmare</t>
        </is>
      </c>
      <c r="S103">
        <f>HYPERLINK("https://klasma.github.io/Logging_VASTERVIK/artfynd/A 11729-2023.xlsx")</f>
        <v/>
      </c>
      <c r="T103">
        <f>HYPERLINK("https://klasma.github.io/Logging_VASTERVIK/kartor/A 11729-2023.png")</f>
        <v/>
      </c>
      <c r="V103">
        <f>HYPERLINK("https://klasma.github.io/Logging_VASTERVIK/klagomål/A 11729-2023.docx")</f>
        <v/>
      </c>
      <c r="W103">
        <f>HYPERLINK("https://klasma.github.io/Logging_VASTERVIK/klagomålsmail/A 11729-2023.docx")</f>
        <v/>
      </c>
      <c r="X103">
        <f>HYPERLINK("https://klasma.github.io/Logging_VASTERVIK/tillsyn/A 11729-2023.docx")</f>
        <v/>
      </c>
      <c r="Y103">
        <f>HYPERLINK("https://klasma.github.io/Logging_VASTERVIK/tillsynsmail/A 11729-2023.docx")</f>
        <v/>
      </c>
    </row>
    <row r="104" ht="15" customHeight="1">
      <c r="A104" t="inlineStr">
        <is>
          <t>A 14720-2023</t>
        </is>
      </c>
      <c r="B104" s="1" t="n">
        <v>45014</v>
      </c>
      <c r="C104" s="1" t="n">
        <v>45171</v>
      </c>
      <c r="D104" t="inlineStr">
        <is>
          <t>KALMAR LÄN</t>
        </is>
      </c>
      <c r="E104" t="inlineStr">
        <is>
          <t>VÄSTERVIK</t>
        </is>
      </c>
      <c r="G104" t="n">
        <v>3.5</v>
      </c>
      <c r="H104" t="n">
        <v>1</v>
      </c>
      <c r="I104" t="n">
        <v>0</v>
      </c>
      <c r="J104" t="n">
        <v>0</v>
      </c>
      <c r="K104" t="n">
        <v>1</v>
      </c>
      <c r="L104" t="n">
        <v>0</v>
      </c>
      <c r="M104" t="n">
        <v>0</v>
      </c>
      <c r="N104" t="n">
        <v>0</v>
      </c>
      <c r="O104" t="n">
        <v>1</v>
      </c>
      <c r="P104" t="n">
        <v>1</v>
      </c>
      <c r="Q104" t="n">
        <v>1</v>
      </c>
      <c r="R104" s="2" t="inlineStr">
        <is>
          <t>Knärot</t>
        </is>
      </c>
      <c r="S104">
        <f>HYPERLINK("https://klasma.github.io/Logging_VASTERVIK/artfynd/A 14720-2023.xlsx")</f>
        <v/>
      </c>
      <c r="T104">
        <f>HYPERLINK("https://klasma.github.io/Logging_VASTERVIK/kartor/A 14720-2023.png")</f>
        <v/>
      </c>
      <c r="U104">
        <f>HYPERLINK("https://klasma.github.io/Logging_VASTERVIK/knärot/A 14720-2023.png")</f>
        <v/>
      </c>
      <c r="V104">
        <f>HYPERLINK("https://klasma.github.io/Logging_VASTERVIK/klagomål/A 14720-2023.docx")</f>
        <v/>
      </c>
      <c r="W104">
        <f>HYPERLINK("https://klasma.github.io/Logging_VASTERVIK/klagomålsmail/A 14720-2023.docx")</f>
        <v/>
      </c>
      <c r="X104">
        <f>HYPERLINK("https://klasma.github.io/Logging_VASTERVIK/tillsyn/A 14720-2023.docx")</f>
        <v/>
      </c>
      <c r="Y104">
        <f>HYPERLINK("https://klasma.github.io/Logging_VASTERVIK/tillsynsmail/A 14720-2023.docx")</f>
        <v/>
      </c>
    </row>
    <row r="105" ht="15" customHeight="1">
      <c r="A105" t="inlineStr">
        <is>
          <t>A 16622-2023</t>
        </is>
      </c>
      <c r="B105" s="1" t="n">
        <v>45030</v>
      </c>
      <c r="C105" s="1" t="n">
        <v>45171</v>
      </c>
      <c r="D105" t="inlineStr">
        <is>
          <t>KALMAR LÄN</t>
        </is>
      </c>
      <c r="E105" t="inlineStr">
        <is>
          <t>VÄSTERVIK</t>
        </is>
      </c>
      <c r="G105" t="n">
        <v>1.9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16622-2023.xlsx")</f>
        <v/>
      </c>
      <c r="T105">
        <f>HYPERLINK("https://klasma.github.io/Logging_VASTERVIK/kartor/A 16622-2023.png")</f>
        <v/>
      </c>
      <c r="U105">
        <f>HYPERLINK("https://klasma.github.io/Logging_VASTERVIK/knärot/A 16622-2023.png")</f>
        <v/>
      </c>
      <c r="V105">
        <f>HYPERLINK("https://klasma.github.io/Logging_VASTERVIK/klagomål/A 16622-2023.docx")</f>
        <v/>
      </c>
      <c r="W105">
        <f>HYPERLINK("https://klasma.github.io/Logging_VASTERVIK/klagomålsmail/A 16622-2023.docx")</f>
        <v/>
      </c>
      <c r="X105">
        <f>HYPERLINK("https://klasma.github.io/Logging_VASTERVIK/tillsyn/A 16622-2023.docx")</f>
        <v/>
      </c>
      <c r="Y105">
        <f>HYPERLINK("https://klasma.github.io/Logging_VASTERVIK/tillsynsmail/A 16622-2023.docx")</f>
        <v/>
      </c>
    </row>
    <row r="106" ht="15" customHeight="1">
      <c r="A106" t="inlineStr">
        <is>
          <t>A 21828-2023</t>
        </is>
      </c>
      <c r="B106" s="1" t="n">
        <v>45068</v>
      </c>
      <c r="C106" s="1" t="n">
        <v>45171</v>
      </c>
      <c r="D106" t="inlineStr">
        <is>
          <t>KALMAR LÄN</t>
        </is>
      </c>
      <c r="E106" t="inlineStr">
        <is>
          <t>VÄSTERVIK</t>
        </is>
      </c>
      <c r="G106" t="n">
        <v>0.7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1</v>
      </c>
      <c r="R106" s="2" t="inlineStr">
        <is>
          <t>Grönpyrola</t>
        </is>
      </c>
      <c r="S106">
        <f>HYPERLINK("https://klasma.github.io/Logging_VASTERVIK/artfynd/A 21828-2023.xlsx")</f>
        <v/>
      </c>
      <c r="T106">
        <f>HYPERLINK("https://klasma.github.io/Logging_VASTERVIK/kartor/A 21828-2023.png")</f>
        <v/>
      </c>
      <c r="V106">
        <f>HYPERLINK("https://klasma.github.io/Logging_VASTERVIK/klagomål/A 21828-2023.docx")</f>
        <v/>
      </c>
      <c r="W106">
        <f>HYPERLINK("https://klasma.github.io/Logging_VASTERVIK/klagomålsmail/A 21828-2023.docx")</f>
        <v/>
      </c>
      <c r="X106">
        <f>HYPERLINK("https://klasma.github.io/Logging_VASTERVIK/tillsyn/A 21828-2023.docx")</f>
        <v/>
      </c>
      <c r="Y106">
        <f>HYPERLINK("https://klasma.github.io/Logging_VASTERVIK/tillsynsmail/A 21828-2023.docx")</f>
        <v/>
      </c>
    </row>
    <row r="107" ht="15" customHeight="1">
      <c r="A107" t="inlineStr">
        <is>
          <t>A 25433-2023</t>
        </is>
      </c>
      <c r="B107" s="1" t="n">
        <v>45089</v>
      </c>
      <c r="C107" s="1" t="n">
        <v>45171</v>
      </c>
      <c r="D107" t="inlineStr">
        <is>
          <t>KALMAR LÄN</t>
        </is>
      </c>
      <c r="E107" t="inlineStr">
        <is>
          <t>VÄSTERVIK</t>
        </is>
      </c>
      <c r="G107" t="n">
        <v>2.3</v>
      </c>
      <c r="H107" t="n">
        <v>1</v>
      </c>
      <c r="I107" t="n">
        <v>0</v>
      </c>
      <c r="J107" t="n">
        <v>0</v>
      </c>
      <c r="K107" t="n">
        <v>1</v>
      </c>
      <c r="L107" t="n">
        <v>0</v>
      </c>
      <c r="M107" t="n">
        <v>0</v>
      </c>
      <c r="N107" t="n">
        <v>0</v>
      </c>
      <c r="O107" t="n">
        <v>1</v>
      </c>
      <c r="P107" t="n">
        <v>1</v>
      </c>
      <c r="Q107" t="n">
        <v>1</v>
      </c>
      <c r="R107" s="2" t="inlineStr">
        <is>
          <t>Knärot</t>
        </is>
      </c>
      <c r="S107">
        <f>HYPERLINK("https://klasma.github.io/Logging_VASTERVIK/artfynd/A 25433-2023.xlsx")</f>
        <v/>
      </c>
      <c r="T107">
        <f>HYPERLINK("https://klasma.github.io/Logging_VASTERVIK/kartor/A 25433-2023.png")</f>
        <v/>
      </c>
      <c r="U107">
        <f>HYPERLINK("https://klasma.github.io/Logging_VASTERVIK/knärot/A 25433-2023.png")</f>
        <v/>
      </c>
      <c r="V107">
        <f>HYPERLINK("https://klasma.github.io/Logging_VASTERVIK/klagomål/A 25433-2023.docx")</f>
        <v/>
      </c>
      <c r="W107">
        <f>HYPERLINK("https://klasma.github.io/Logging_VASTERVIK/klagomålsmail/A 25433-2023.docx")</f>
        <v/>
      </c>
      <c r="X107">
        <f>HYPERLINK("https://klasma.github.io/Logging_VASTERVIK/tillsyn/A 25433-2023.docx")</f>
        <v/>
      </c>
      <c r="Y107">
        <f>HYPERLINK("https://klasma.github.io/Logging_VASTERVIK/tillsynsmail/A 25433-2023.docx")</f>
        <v/>
      </c>
    </row>
    <row r="108" ht="15" customHeight="1">
      <c r="A108" t="inlineStr">
        <is>
          <t>A 25436-2023</t>
        </is>
      </c>
      <c r="B108" s="1" t="n">
        <v>45089</v>
      </c>
      <c r="C108" s="1" t="n">
        <v>45171</v>
      </c>
      <c r="D108" t="inlineStr">
        <is>
          <t>KALMAR LÄN</t>
        </is>
      </c>
      <c r="E108" t="inlineStr">
        <is>
          <t>VÄSTERVIK</t>
        </is>
      </c>
      <c r="G108" t="n">
        <v>1.6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25436-2023.xlsx")</f>
        <v/>
      </c>
      <c r="T108">
        <f>HYPERLINK("https://klasma.github.io/Logging_VASTERVIK/kartor/A 25436-2023.png")</f>
        <v/>
      </c>
      <c r="U108">
        <f>HYPERLINK("https://klasma.github.io/Logging_VASTERVIK/knärot/A 25436-2023.png")</f>
        <v/>
      </c>
      <c r="V108">
        <f>HYPERLINK("https://klasma.github.io/Logging_VASTERVIK/klagomål/A 25436-2023.docx")</f>
        <v/>
      </c>
      <c r="W108">
        <f>HYPERLINK("https://klasma.github.io/Logging_VASTERVIK/klagomålsmail/A 25436-2023.docx")</f>
        <v/>
      </c>
      <c r="X108">
        <f>HYPERLINK("https://klasma.github.io/Logging_VASTERVIK/tillsyn/A 25436-2023.docx")</f>
        <v/>
      </c>
      <c r="Y108">
        <f>HYPERLINK("https://klasma.github.io/Logging_VASTERVIK/tillsynsmail/A 25436-2023.docx")</f>
        <v/>
      </c>
    </row>
    <row r="109" ht="15" customHeight="1">
      <c r="A109" t="inlineStr">
        <is>
          <t>A 25435-2023</t>
        </is>
      </c>
      <c r="B109" s="1" t="n">
        <v>45089</v>
      </c>
      <c r="C109" s="1" t="n">
        <v>45171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25435-2023.xlsx")</f>
        <v/>
      </c>
      <c r="T109">
        <f>HYPERLINK("https://klasma.github.io/Logging_VASTERVIK/kartor/A 25435-2023.png")</f>
        <v/>
      </c>
      <c r="U109">
        <f>HYPERLINK("https://klasma.github.io/Logging_VASTERVIK/knärot/A 25435-2023.png")</f>
        <v/>
      </c>
      <c r="V109">
        <f>HYPERLINK("https://klasma.github.io/Logging_VASTERVIK/klagomål/A 25435-2023.docx")</f>
        <v/>
      </c>
      <c r="W109">
        <f>HYPERLINK("https://klasma.github.io/Logging_VASTERVIK/klagomålsmail/A 25435-2023.docx")</f>
        <v/>
      </c>
      <c r="X109">
        <f>HYPERLINK("https://klasma.github.io/Logging_VASTERVIK/tillsyn/A 25435-2023.docx")</f>
        <v/>
      </c>
      <c r="Y109">
        <f>HYPERLINK("https://klasma.github.io/Logging_VASTERVIK/tillsynsmail/A 25435-2023.docx")</f>
        <v/>
      </c>
    </row>
    <row r="110" ht="15" customHeight="1">
      <c r="A110" t="inlineStr">
        <is>
          <t>A 25563-2023</t>
        </is>
      </c>
      <c r="B110" s="1" t="n">
        <v>45089</v>
      </c>
      <c r="C110" s="1" t="n">
        <v>45171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Talltita</t>
        </is>
      </c>
      <c r="S110">
        <f>HYPERLINK("https://klasma.github.io/Logging_VASTERVIK/artfynd/A 25563-2023.xlsx")</f>
        <v/>
      </c>
      <c r="T110">
        <f>HYPERLINK("https://klasma.github.io/Logging_VASTERVIK/kartor/A 25563-2023.png")</f>
        <v/>
      </c>
      <c r="V110">
        <f>HYPERLINK("https://klasma.github.io/Logging_VASTERVIK/klagomål/A 25563-2023.docx")</f>
        <v/>
      </c>
      <c r="W110">
        <f>HYPERLINK("https://klasma.github.io/Logging_VASTERVIK/klagomålsmail/A 25563-2023.docx")</f>
        <v/>
      </c>
      <c r="X110">
        <f>HYPERLINK("https://klasma.github.io/Logging_VASTERVIK/tillsyn/A 25563-2023.docx")</f>
        <v/>
      </c>
      <c r="Y110">
        <f>HYPERLINK("https://klasma.github.io/Logging_VASTERVIK/tillsynsmail/A 25563-2023.docx")</f>
        <v/>
      </c>
    </row>
    <row r="111" ht="15" customHeight="1">
      <c r="A111" t="inlineStr">
        <is>
          <t>A 26278-2023</t>
        </is>
      </c>
      <c r="B111" s="1" t="n">
        <v>45091</v>
      </c>
      <c r="C111" s="1" t="n">
        <v>45171</v>
      </c>
      <c r="D111" t="inlineStr">
        <is>
          <t>KALMAR LÄN</t>
        </is>
      </c>
      <c r="E111" t="inlineStr">
        <is>
          <t>VÄSTERVIK</t>
        </is>
      </c>
      <c r="G111" t="n">
        <v>3.1</v>
      </c>
      <c r="H111" t="n">
        <v>1</v>
      </c>
      <c r="I111" t="n">
        <v>0</v>
      </c>
      <c r="J111" t="n">
        <v>0</v>
      </c>
      <c r="K111" t="n">
        <v>1</v>
      </c>
      <c r="L111" t="n">
        <v>0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Knärot</t>
        </is>
      </c>
      <c r="S111">
        <f>HYPERLINK("https://klasma.github.io/Logging_VASTERVIK/artfynd/A 26278-2023.xlsx")</f>
        <v/>
      </c>
      <c r="T111">
        <f>HYPERLINK("https://klasma.github.io/Logging_VASTERVIK/kartor/A 26278-2023.png")</f>
        <v/>
      </c>
      <c r="U111">
        <f>HYPERLINK("https://klasma.github.io/Logging_VASTERVIK/knärot/A 26278-2023.png")</f>
        <v/>
      </c>
      <c r="V111">
        <f>HYPERLINK("https://klasma.github.io/Logging_VASTERVIK/klagomål/A 26278-2023.docx")</f>
        <v/>
      </c>
      <c r="W111">
        <f>HYPERLINK("https://klasma.github.io/Logging_VASTERVIK/klagomålsmail/A 26278-2023.docx")</f>
        <v/>
      </c>
      <c r="X111">
        <f>HYPERLINK("https://klasma.github.io/Logging_VASTERVIK/tillsyn/A 26278-2023.docx")</f>
        <v/>
      </c>
      <c r="Y111">
        <f>HYPERLINK("https://klasma.github.io/Logging_VASTERVIK/tillsynsmail/A 26278-2023.docx")</f>
        <v/>
      </c>
    </row>
    <row r="112" ht="15" customHeight="1">
      <c r="A112" t="inlineStr">
        <is>
          <t>A 32415-2023</t>
        </is>
      </c>
      <c r="B112" s="1" t="n">
        <v>45110</v>
      </c>
      <c r="C112" s="1" t="n">
        <v>45171</v>
      </c>
      <c r="D112" t="inlineStr">
        <is>
          <t>KALMAR LÄN</t>
        </is>
      </c>
      <c r="E112" t="inlineStr">
        <is>
          <t>VÄSTERVIK</t>
        </is>
      </c>
      <c r="G112" t="n">
        <v>1.7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32415-2023.xlsx")</f>
        <v/>
      </c>
      <c r="T112">
        <f>HYPERLINK("https://klasma.github.io/Logging_VASTERVIK/kartor/A 32415-2023.png")</f>
        <v/>
      </c>
      <c r="U112">
        <f>HYPERLINK("https://klasma.github.io/Logging_VASTERVIK/knärot/A 32415-2023.png")</f>
        <v/>
      </c>
      <c r="V112">
        <f>HYPERLINK("https://klasma.github.io/Logging_VASTERVIK/klagomål/A 32415-2023.docx")</f>
        <v/>
      </c>
      <c r="W112">
        <f>HYPERLINK("https://klasma.github.io/Logging_VASTERVIK/klagomålsmail/A 32415-2023.docx")</f>
        <v/>
      </c>
      <c r="X112">
        <f>HYPERLINK("https://klasma.github.io/Logging_VASTERVIK/tillsyn/A 32415-2023.docx")</f>
        <v/>
      </c>
      <c r="Y112">
        <f>HYPERLINK("https://klasma.github.io/Logging_VASTERVIK/tillsynsmail/A 32415-2023.docx")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45171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32653-2023.xlsx")</f>
        <v/>
      </c>
      <c r="T113">
        <f>HYPERLINK("https://klasma.github.io/Logging_VASTERVIK/kartor/A 32653-2023.png")</f>
        <v/>
      </c>
      <c r="U113">
        <f>HYPERLINK("https://klasma.github.io/Logging_VASTERVIK/knärot/A 32653-2023.png")</f>
        <v/>
      </c>
      <c r="V113">
        <f>HYPERLINK("https://klasma.github.io/Logging_VASTERVIK/klagomål/A 32653-2023.docx")</f>
        <v/>
      </c>
      <c r="W113">
        <f>HYPERLINK("https://klasma.github.io/Logging_VASTERVIK/klagomålsmail/A 32653-2023.docx")</f>
        <v/>
      </c>
      <c r="X113">
        <f>HYPERLINK("https://klasma.github.io/Logging_VASTERVIK/tillsyn/A 32653-2023.docx")</f>
        <v/>
      </c>
      <c r="Y113">
        <f>HYPERLINK("https://klasma.github.io/Logging_VASTERVIK/tillsynsmail/A 32653-2023.docx")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45171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45171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45171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45171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45171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37566-2018.png")</f>
        <v/>
      </c>
      <c r="V118">
        <f>HYPERLINK("https://klasma.github.io/Logging_VASTERVIK/klagomål/A 37566-2018.docx")</f>
        <v/>
      </c>
      <c r="W118">
        <f>HYPERLINK("https://klasma.github.io/Logging_VASTERVIK/klagomålsmail/A 37566-2018.docx")</f>
        <v/>
      </c>
      <c r="X118">
        <f>HYPERLINK("https://klasma.github.io/Logging_VASTERVIK/tillsyn/A 37566-2018.docx")</f>
        <v/>
      </c>
      <c r="Y118">
        <f>HYPERLINK("https://klasma.github.io/Logging_VASTERVIK/tillsynsmail/A 37566-2018.docx")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45171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45171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45171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45171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45171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45171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45171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45171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45171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45171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45171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45171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45171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45171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45171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45171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45171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45171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45171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45171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45171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45171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45171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45171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45171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45171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45171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45171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45171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45171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45171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45171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45171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45171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45171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45171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45171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45171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45171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45171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45171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45171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45171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45171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45171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45171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45171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45171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45171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45171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45171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45171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45171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45171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45171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45171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45171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45171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45171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45171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45171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45171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45171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45171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45171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45171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45171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45171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45171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45171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45171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45171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45171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45171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45171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45171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45171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45171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45171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45171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45171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45171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45171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45171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45171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45171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45171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45171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45171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45171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45171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45171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45171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45171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45171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45171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45171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45171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45171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45171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45171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45171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45171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45171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45171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45171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45171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45171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45171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45171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45171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45171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45171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45171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45171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45171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45171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45171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45171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45171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45171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45171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45171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45171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45171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45171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45171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45171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45171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45171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45171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45171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45171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45171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45171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45171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45171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45171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45171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45171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45171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45171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45171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45171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45171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45171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45171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45171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45171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45171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45171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45171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45171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45171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45171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45171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45171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45171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45171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45171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45171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45171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45171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45171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45171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45171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45171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45171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45171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45171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45171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45171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45171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45171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45171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45171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45171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45171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45171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45171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45171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45171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45171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45171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45171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45171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45171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45171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45171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45171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45171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45171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45171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45171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45171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45171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45171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45171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45171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45171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45171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45171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45171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45171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45171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45171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45171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45171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45171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45171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45171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45171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45171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45171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45171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45171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45171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45171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45171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45171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45171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45171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45171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45171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45171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45171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45171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45171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45171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66743-2019.png")</f>
        <v/>
      </c>
      <c r="V347">
        <f>HYPERLINK("https://klasma.github.io/Logging_VASTERVIK/klagomål/A 66743-2019.docx")</f>
        <v/>
      </c>
      <c r="W347">
        <f>HYPERLINK("https://klasma.github.io/Logging_VASTERVIK/klagomålsmail/A 66743-2019.docx")</f>
        <v/>
      </c>
      <c r="X347">
        <f>HYPERLINK("https://klasma.github.io/Logging_VASTERVIK/tillsyn/A 66743-2019.docx")</f>
        <v/>
      </c>
      <c r="Y347">
        <f>HYPERLINK("https://klasma.github.io/Logging_VASTERVIK/tillsynsmail/A 66743-2019.docx")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45171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45171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45171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45171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45171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45171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45171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45171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45171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45171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45171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45171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45171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45171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45171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45171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45171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45171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45171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45171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45171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45171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45171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45171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45171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45171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45171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45171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45171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45171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45171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45171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45171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45171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45171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45171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45171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45171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45171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45171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45171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45171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45171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45171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45171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45171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45171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45171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45171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45171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45171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45171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45171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45171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45171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45171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45171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45171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45171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45171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45171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45171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45171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45171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45171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45171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45171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45171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45171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45171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45171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45171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45171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45171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45171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45171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45171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45171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45171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45171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45171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45171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45171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45171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45171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45171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45171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45171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45171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45171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45171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45171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45171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45171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45171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45171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45171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45171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45171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45171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45171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45171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45171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45171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45171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45171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45171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45171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45171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45171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45171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45171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45171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45171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45171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45171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45171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45171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45171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45171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45171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45171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45171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45171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45171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45171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45171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45171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45171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45171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45171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45171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45171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45171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45171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45171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45171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45171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45171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45171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45171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45171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45171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45171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45171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45171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45171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45171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45171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45171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45171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45171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45171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45171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45171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45171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45171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45171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45171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45171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45171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45171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45171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45171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45171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45171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45171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45171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45171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45171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45171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45171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45171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45171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45171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45171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45171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45171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45171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45171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45171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45171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45171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45171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45171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45171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45171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45171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45171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45171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45171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45171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45171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45171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42164-2021.png")</f>
        <v/>
      </c>
      <c r="V541">
        <f>HYPERLINK("https://klasma.github.io/Logging_VASTERVIK/klagomål/A 42164-2021.docx")</f>
        <v/>
      </c>
      <c r="W541">
        <f>HYPERLINK("https://klasma.github.io/Logging_VASTERVIK/klagomålsmail/A 42164-2021.docx")</f>
        <v/>
      </c>
      <c r="X541">
        <f>HYPERLINK("https://klasma.github.io/Logging_VASTERVIK/tillsyn/A 42164-2021.docx")</f>
        <v/>
      </c>
      <c r="Y541">
        <f>HYPERLINK("https://klasma.github.io/Logging_VASTERVIK/tillsynsmail/A 42164-2021.docx")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45171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45171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45171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45171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45171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45171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45171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45171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45171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45171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45171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45171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45171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45171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45171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45171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45171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45171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45171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45171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45171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45171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45171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45171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45171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45171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45171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45171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45171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45171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45171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45171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45171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45171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45171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45171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45171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64920-2021.png")</f>
        <v/>
      </c>
      <c r="V578">
        <f>HYPERLINK("https://klasma.github.io/Logging_VASTERVIK/klagomål/A 64920-2021.docx")</f>
        <v/>
      </c>
      <c r="W578">
        <f>HYPERLINK("https://klasma.github.io/Logging_VASTERVIK/klagomålsmail/A 64920-2021.docx")</f>
        <v/>
      </c>
      <c r="X578">
        <f>HYPERLINK("https://klasma.github.io/Logging_VASTERVIK/tillsyn/A 64920-2021.docx")</f>
        <v/>
      </c>
      <c r="Y578">
        <f>HYPERLINK("https://klasma.github.io/Logging_VASTERVIK/tillsynsmail/A 64920-2021.docx")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45171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45171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45171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45171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45171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45171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45171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45171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45171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45171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45171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45171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45171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45171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45171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45171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9605-2022.png")</f>
        <v/>
      </c>
      <c r="V594">
        <f>HYPERLINK("https://klasma.github.io/Logging_VASTERVIK/klagomål/A 9605-2022.docx")</f>
        <v/>
      </c>
      <c r="W594">
        <f>HYPERLINK("https://klasma.github.io/Logging_VASTERVIK/klagomålsmail/A 9605-2022.docx")</f>
        <v/>
      </c>
      <c r="X594">
        <f>HYPERLINK("https://klasma.github.io/Logging_VASTERVIK/tillsyn/A 9605-2022.docx")</f>
        <v/>
      </c>
      <c r="Y594">
        <f>HYPERLINK("https://klasma.github.io/Logging_VASTERVIK/tillsynsmail/A 9605-2022.docx")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45171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45171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45171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45171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45171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45171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45171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45171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45171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45171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45171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45171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45171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45171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45171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45171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45171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45171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45171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45171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45171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45171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45171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45171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45171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45171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45171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45171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45171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45171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45171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45171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45171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45171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45171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45171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45171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45171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45171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45171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45171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45171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45171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45171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45171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45171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45171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45171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45171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45171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45171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45171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45171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45171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45171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45171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45171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45171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45171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45171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45171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45171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45171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45171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45171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45171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45171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45171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45171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45171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45171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45171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45171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45171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45171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45171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45171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45171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45171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45171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45171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45171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45171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45171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45171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45171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45171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45171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45171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45171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45171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45171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45171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45171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45171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45171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45171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45171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45171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45171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45171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45171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7255-2023.png")</f>
        <v/>
      </c>
      <c r="V696">
        <f>HYPERLINK("https://klasma.github.io/Logging_VASTERVIK/klagomål/A 7255-2023.docx")</f>
        <v/>
      </c>
      <c r="W696">
        <f>HYPERLINK("https://klasma.github.io/Logging_VASTERVIK/klagomålsmail/A 7255-2023.docx")</f>
        <v/>
      </c>
      <c r="X696">
        <f>HYPERLINK("https://klasma.github.io/Logging_VASTERVIK/tillsyn/A 7255-2023.docx")</f>
        <v/>
      </c>
      <c r="Y696">
        <f>HYPERLINK("https://klasma.github.io/Logging_VASTERVIK/tillsynsmail/A 7255-2023.docx")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45171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45171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45171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45171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45171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45171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45171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45171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45171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45171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45171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45171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45171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45171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45171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45171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45171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45171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45171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45171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45171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45171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45171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13275-2023.png")</f>
        <v/>
      </c>
      <c r="V719">
        <f>HYPERLINK("https://klasma.github.io/Logging_VASTERVIK/klagomål/A 13275-2023.docx")</f>
        <v/>
      </c>
      <c r="W719">
        <f>HYPERLINK("https://klasma.github.io/Logging_VASTERVIK/klagomålsmail/A 13275-2023.docx")</f>
        <v/>
      </c>
      <c r="X719">
        <f>HYPERLINK("https://klasma.github.io/Logging_VASTERVIK/tillsyn/A 13275-2023.docx")</f>
        <v/>
      </c>
      <c r="Y719">
        <f>HYPERLINK("https://klasma.github.io/Logging_VASTERVIK/tillsynsmail/A 13275-2023.docx")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45171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45171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45171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45171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45171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45171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45171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45171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45171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45171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45171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45171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45171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45171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45171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45171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45171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17317-2023.png")</f>
        <v/>
      </c>
      <c r="V736">
        <f>HYPERLINK("https://klasma.github.io/Logging_VASTERVIK/klagomål/A 17317-2023.docx")</f>
        <v/>
      </c>
      <c r="W736">
        <f>HYPERLINK("https://klasma.github.io/Logging_VASTERVIK/klagomålsmail/A 17317-2023.docx")</f>
        <v/>
      </c>
      <c r="X736">
        <f>HYPERLINK("https://klasma.github.io/Logging_VASTERVIK/tillsyn/A 17317-2023.docx")</f>
        <v/>
      </c>
      <c r="Y736">
        <f>HYPERLINK("https://klasma.github.io/Logging_VASTERVIK/tillsynsmail/A 17317-2023.docx")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45171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45171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45171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45171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45171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45171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45171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45171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45171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45171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45171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45171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45171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45171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45171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19365-2023.png")</f>
        <v/>
      </c>
      <c r="V751">
        <f>HYPERLINK("https://klasma.github.io/Logging_VASTERVIK/klagomål/A 19365-2023.docx")</f>
        <v/>
      </c>
      <c r="W751">
        <f>HYPERLINK("https://klasma.github.io/Logging_VASTERVIK/klagomålsmail/A 19365-2023.docx")</f>
        <v/>
      </c>
      <c r="X751">
        <f>HYPERLINK("https://klasma.github.io/Logging_VASTERVIK/tillsyn/A 19365-2023.docx")</f>
        <v/>
      </c>
      <c r="Y751">
        <f>HYPERLINK("https://klasma.github.io/Logging_VASTERVIK/tillsynsmail/A 19365-2023.docx")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45171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45171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45171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45171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45171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45171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45171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45171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45171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45171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45171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45171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45171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45171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45171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45171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45171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45171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45171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45171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45171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45171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45171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45171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45171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45171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45171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45171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45171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45171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45171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45171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45171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45171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45171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45171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45171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45171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45171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45171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45171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45171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45171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45171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45171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45171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45171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45171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45171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45171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45171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45171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45171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45171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45171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45171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45171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45171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45171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45171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45171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45171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>
      <c r="A814" t="inlineStr">
        <is>
          <t>A 37716-2023</t>
        </is>
      </c>
      <c r="B814" s="1" t="n">
        <v>45159</v>
      </c>
      <c r="C814" s="1" t="n">
        <v>45171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2023-09-02T03:31:06Z</dcterms:created>
  <dcterms:modified xmlns:dcterms="http://purl.org/dc/terms/" xmlns:xsi="http://www.w3.org/2001/XMLSchema-instance" xsi:type="dcterms:W3CDTF">2023-09-02T03:31:07Z</dcterms:modified>
</cp:coreProperties>
</file>