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7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45227</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45227</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45227</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45227</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45227</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45227</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45227</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45227</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45227</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45227</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45227</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45227</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45227</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45227</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45227</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45227</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45227</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45227</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45227</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45227</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45227</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45227</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45227</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45227</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45227</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45227</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45227</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45227</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45227</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45227</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45227</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45227</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45227</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45227</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45227</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45227</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45227</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45227</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45227</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45227</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45227</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45227</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45227</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45227</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45227</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45227</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45227</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45227</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45227</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45227</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45227</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45227</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45227</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45227</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45227</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45227</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45227</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45227</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45227</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45227</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45227</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45227</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45227</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45227</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45227</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45227</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45227</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45227</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45227</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45227</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45227</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45227</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45227</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45227</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45227</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45227</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45227</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45227</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45227</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45227</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45227</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45227</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45227</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45227</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45227</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45227</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45227</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45227</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45227</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45227</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45227</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45227</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45227</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45227</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45227</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45227</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45227</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45227</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45227</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45227</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45227</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45227</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45227</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45227</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45227</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45227</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45227</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45227</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45227</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45227</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45227</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45227</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45227</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45227</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45227</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45227</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45227</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45227</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45227</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45227</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45227</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45227</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45227</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45227</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45227</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45227</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45227</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45227</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45227</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45227</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45227</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45227</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45227</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45227</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45227</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45227</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45227</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45227</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45227</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45227</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45227</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45227</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45227</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45227</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45227</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45227</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45227</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45227</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45227</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45227</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45227</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45227</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45227</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45227</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45227</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45227</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45227</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45227</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45227</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45227</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45227</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45227</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45227</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45227</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45227</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45227</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45227</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45227</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45227</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45227</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45227</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45227</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45227</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45227</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45227</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45227</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45227</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45227</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45227</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45227</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45227</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45227</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45227</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45227</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45227</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45227</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45227</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45227</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45227</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45227</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45227</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45227</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45227</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45227</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45227</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45227</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45227</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45227</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45227</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45227</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45227</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45227</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45227</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45227</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45227</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45227</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45227</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45227</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45227</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45227</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45227</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45227</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45227</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45227</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45227</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45227</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45227</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45227</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45227</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45227</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45227</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45227</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45227</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45227</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45227</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45227</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45227</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45227</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45227</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45227</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45227</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45227</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45227</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45227</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45227</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45227</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45227</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45227</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45227</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45227</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45227</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45227</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45227</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45227</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45227</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45227</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45227</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45227</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45227</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45227</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45227</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45227</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45227</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45227</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45227</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45227</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45227</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45227</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45227</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45227</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45227</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45227</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45227</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45227</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45227</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45227</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45227</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45227</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45227</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45227</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45227</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45227</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45227</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45227</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45227</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45227</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45227</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45227</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45227</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45227</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45227</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45227</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45227</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45227</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45227</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45227</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45227</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45227</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45227</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45227</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45227</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45227</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45227</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45227</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45227</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45227</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45227</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45227</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45227</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45227</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45227</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45227</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45227</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45227</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45227</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45227</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45227</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45227</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45227</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45227</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45227</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45227</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45227</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45227</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45227</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45227</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45227</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45227</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45227</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45227</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45227</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45227</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45227</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45227</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45227</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45227</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45227</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45227</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45227</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45227</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45227</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45227</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45227</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45227</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45227</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45227</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45227</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45227</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45227</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45227</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45227</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45227</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45227</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45227</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23726-2020</t>
        </is>
      </c>
      <c r="B346" s="1" t="n">
        <v>43970</v>
      </c>
      <c r="C346" s="1" t="n">
        <v>45227</v>
      </c>
      <c r="D346" t="inlineStr">
        <is>
          <t>VÄSTRA GÖTALANDS LÄN</t>
        </is>
      </c>
      <c r="E346" t="inlineStr">
        <is>
          <t>BORÅS</t>
        </is>
      </c>
      <c r="G346" t="n">
        <v>8.9</v>
      </c>
      <c r="H346" t="n">
        <v>1</v>
      </c>
      <c r="I346" t="n">
        <v>0</v>
      </c>
      <c r="J346" t="n">
        <v>0</v>
      </c>
      <c r="K346" t="n">
        <v>0</v>
      </c>
      <c r="L346" t="n">
        <v>0</v>
      </c>
      <c r="M346" t="n">
        <v>0</v>
      </c>
      <c r="N346" t="n">
        <v>0</v>
      </c>
      <c r="O346" t="n">
        <v>0</v>
      </c>
      <c r="P346" t="n">
        <v>0</v>
      </c>
      <c r="Q346" t="n">
        <v>1</v>
      </c>
      <c r="R346" s="2" t="inlineStr">
        <is>
          <t>Vanlig padda</t>
        </is>
      </c>
      <c r="S346">
        <f>HYPERLINK("https://klasma.github.io/Logging_1490/artfynd/A 23726-2020 artfynd.xlsx", "A 23726-2020")</f>
        <v/>
      </c>
      <c r="T346">
        <f>HYPERLINK("https://klasma.github.io/Logging_1490/kartor/A 23726-2020 karta.png", "A 23726-2020")</f>
        <v/>
      </c>
      <c r="V346">
        <f>HYPERLINK("https://klasma.github.io/Logging_1490/klagomål/A 23726-2020 FSC-klagomål.docx", "A 23726-2020")</f>
        <v/>
      </c>
      <c r="W346">
        <f>HYPERLINK("https://klasma.github.io/Logging_1490/klagomålsmail/A 23726-2020 FSC-klagomål mail.docx", "A 23726-2020")</f>
        <v/>
      </c>
      <c r="X346">
        <f>HYPERLINK("https://klasma.github.io/Logging_1490/tillsyn/A 23726-2020 tillsynsbegäran.docx", "A 23726-2020")</f>
        <v/>
      </c>
      <c r="Y346">
        <f>HYPERLINK("https://klasma.github.io/Logging_1490/tillsynsmail/A 23726-2020 tillsynsbegäran mail.docx", "A 23726-2020")</f>
        <v/>
      </c>
    </row>
    <row r="347" ht="15" customHeight="1">
      <c r="A347" t="inlineStr">
        <is>
          <t>A 24203-2020</t>
        </is>
      </c>
      <c r="B347" s="1" t="n">
        <v>43971</v>
      </c>
      <c r="C347" s="1" t="n">
        <v>45227</v>
      </c>
      <c r="D347" t="inlineStr">
        <is>
          <t>VÄSTRA GÖTALANDS LÄN</t>
        </is>
      </c>
      <c r="E347" t="inlineStr">
        <is>
          <t>STENUNGSUND</t>
        </is>
      </c>
      <c r="G347" t="n">
        <v>24.9</v>
      </c>
      <c r="H347" t="n">
        <v>1</v>
      </c>
      <c r="I347" t="n">
        <v>0</v>
      </c>
      <c r="J347" t="n">
        <v>0</v>
      </c>
      <c r="K347" t="n">
        <v>0</v>
      </c>
      <c r="L347" t="n">
        <v>0</v>
      </c>
      <c r="M347" t="n">
        <v>0</v>
      </c>
      <c r="N347" t="n">
        <v>0</v>
      </c>
      <c r="O347" t="n">
        <v>0</v>
      </c>
      <c r="P347" t="n">
        <v>0</v>
      </c>
      <c r="Q347" t="n">
        <v>1</v>
      </c>
      <c r="R347" s="2" t="inlineStr">
        <is>
          <t>Revlummer</t>
        </is>
      </c>
      <c r="S347">
        <f>HYPERLINK("https://klasma.github.io/Logging_1415/artfynd/A 24203-2020 artfynd.xlsx", "A 24203-2020")</f>
        <v/>
      </c>
      <c r="T347">
        <f>HYPERLINK("https://klasma.github.io/Logging_1415/kartor/A 24203-2020 karta.png", "A 24203-2020")</f>
        <v/>
      </c>
      <c r="V347">
        <f>HYPERLINK("https://klasma.github.io/Logging_1415/klagomål/A 24203-2020 FSC-klagomål.docx", "A 24203-2020")</f>
        <v/>
      </c>
      <c r="W347">
        <f>HYPERLINK("https://klasma.github.io/Logging_1415/klagomålsmail/A 24203-2020 FSC-klagomål mail.docx", "A 24203-2020")</f>
        <v/>
      </c>
      <c r="X347">
        <f>HYPERLINK("https://klasma.github.io/Logging_1415/tillsyn/A 24203-2020 tillsynsbegäran.docx", "A 24203-2020")</f>
        <v/>
      </c>
      <c r="Y347">
        <f>HYPERLINK("https://klasma.github.io/Logging_1415/tillsynsmail/A 24203-2020 tillsynsbegäran mail.docx", "A 24203-2020")</f>
        <v/>
      </c>
    </row>
    <row r="348" ht="15" customHeight="1">
      <c r="A348" t="inlineStr">
        <is>
          <t>A 24251-2020</t>
        </is>
      </c>
      <c r="B348" s="1" t="n">
        <v>43975</v>
      </c>
      <c r="C348" s="1" t="n">
        <v>45227</v>
      </c>
      <c r="D348" t="inlineStr">
        <is>
          <t>VÄSTRA GÖTALANDS LÄN</t>
        </is>
      </c>
      <c r="E348" t="inlineStr">
        <is>
          <t>TANUM</t>
        </is>
      </c>
      <c r="G348" t="n">
        <v>5.1</v>
      </c>
      <c r="H348" t="n">
        <v>1</v>
      </c>
      <c r="I348" t="n">
        <v>0</v>
      </c>
      <c r="J348" t="n">
        <v>0</v>
      </c>
      <c r="K348" t="n">
        <v>1</v>
      </c>
      <c r="L348" t="n">
        <v>0</v>
      </c>
      <c r="M348" t="n">
        <v>0</v>
      </c>
      <c r="N348" t="n">
        <v>0</v>
      </c>
      <c r="O348" t="n">
        <v>1</v>
      </c>
      <c r="P348" t="n">
        <v>1</v>
      </c>
      <c r="Q348" t="n">
        <v>1</v>
      </c>
      <c r="R348" s="2" t="inlineStr">
        <is>
          <t>Knärot</t>
        </is>
      </c>
      <c r="S348">
        <f>HYPERLINK("https://klasma.github.io/Logging_1435/artfynd/A 24251-2020 artfynd.xlsx", "A 24251-2020")</f>
        <v/>
      </c>
      <c r="T348">
        <f>HYPERLINK("https://klasma.github.io/Logging_1435/kartor/A 24251-2020 karta.png", "A 24251-2020")</f>
        <v/>
      </c>
      <c r="U348">
        <f>HYPERLINK("https://klasma.github.io/Logging_1435/knärot/A 24251-2020 karta knärot.png", "A 24251-2020")</f>
        <v/>
      </c>
      <c r="V348">
        <f>HYPERLINK("https://klasma.github.io/Logging_1435/klagomål/A 24251-2020 FSC-klagomål.docx", "A 24251-2020")</f>
        <v/>
      </c>
      <c r="W348">
        <f>HYPERLINK("https://klasma.github.io/Logging_1435/klagomålsmail/A 24251-2020 FSC-klagomål mail.docx", "A 24251-2020")</f>
        <v/>
      </c>
      <c r="X348">
        <f>HYPERLINK("https://klasma.github.io/Logging_1435/tillsyn/A 24251-2020 tillsynsbegäran.docx", "A 24251-2020")</f>
        <v/>
      </c>
      <c r="Y348">
        <f>HYPERLINK("https://klasma.github.io/Logging_1435/tillsynsmail/A 24251-2020 tillsynsbegäran mail.docx", "A 24251-2020")</f>
        <v/>
      </c>
    </row>
    <row r="349" ht="15" customHeight="1">
      <c r="A349" t="inlineStr">
        <is>
          <t>A 25598-2020</t>
        </is>
      </c>
      <c r="B349" s="1" t="n">
        <v>43983</v>
      </c>
      <c r="C349" s="1" t="n">
        <v>45227</v>
      </c>
      <c r="D349" t="inlineStr">
        <is>
          <t>VÄSTRA GÖTALANDS LÄN</t>
        </is>
      </c>
      <c r="E349" t="inlineStr">
        <is>
          <t>VÄNERSBORG</t>
        </is>
      </c>
      <c r="G349" t="n">
        <v>5.1</v>
      </c>
      <c r="H349" t="n">
        <v>1</v>
      </c>
      <c r="I349" t="n">
        <v>0</v>
      </c>
      <c r="J349" t="n">
        <v>0</v>
      </c>
      <c r="K349" t="n">
        <v>0</v>
      </c>
      <c r="L349" t="n">
        <v>0</v>
      </c>
      <c r="M349" t="n">
        <v>0</v>
      </c>
      <c r="N349" t="n">
        <v>0</v>
      </c>
      <c r="O349" t="n">
        <v>0</v>
      </c>
      <c r="P349" t="n">
        <v>0</v>
      </c>
      <c r="Q349" t="n">
        <v>1</v>
      </c>
      <c r="R349" s="2" t="inlineStr">
        <is>
          <t>Gullviva</t>
        </is>
      </c>
      <c r="S349">
        <f>HYPERLINK("https://klasma.github.io/Logging_1487/artfynd/A 25598-2020 artfynd.xlsx", "A 25598-2020")</f>
        <v/>
      </c>
      <c r="T349">
        <f>HYPERLINK("https://klasma.github.io/Logging_1487/kartor/A 25598-2020 karta.png", "A 25598-2020")</f>
        <v/>
      </c>
      <c r="V349">
        <f>HYPERLINK("https://klasma.github.io/Logging_1487/klagomål/A 25598-2020 FSC-klagomål.docx", "A 25598-2020")</f>
        <v/>
      </c>
      <c r="W349">
        <f>HYPERLINK("https://klasma.github.io/Logging_1487/klagomålsmail/A 25598-2020 FSC-klagomål mail.docx", "A 25598-2020")</f>
        <v/>
      </c>
      <c r="X349">
        <f>HYPERLINK("https://klasma.github.io/Logging_1487/tillsyn/A 25598-2020 tillsynsbegäran.docx", "A 25598-2020")</f>
        <v/>
      </c>
      <c r="Y349">
        <f>HYPERLINK("https://klasma.github.io/Logging_1487/tillsynsmail/A 25598-2020 tillsynsbegäran mail.docx", "A 25598-2020")</f>
        <v/>
      </c>
    </row>
    <row r="350" ht="15" customHeight="1">
      <c r="A350" t="inlineStr">
        <is>
          <t>A 26240-2020</t>
        </is>
      </c>
      <c r="B350" s="1" t="n">
        <v>43986</v>
      </c>
      <c r="C350" s="1" t="n">
        <v>45227</v>
      </c>
      <c r="D350" t="inlineStr">
        <is>
          <t>VÄSTRA GÖTALANDS LÄN</t>
        </is>
      </c>
      <c r="E350" t="inlineStr">
        <is>
          <t>ALINGSÅS</t>
        </is>
      </c>
      <c r="G350" t="n">
        <v>2.1</v>
      </c>
      <c r="H350" t="n">
        <v>0</v>
      </c>
      <c r="I350" t="n">
        <v>0</v>
      </c>
      <c r="J350" t="n">
        <v>1</v>
      </c>
      <c r="K350" t="n">
        <v>0</v>
      </c>
      <c r="L350" t="n">
        <v>0</v>
      </c>
      <c r="M350" t="n">
        <v>0</v>
      </c>
      <c r="N350" t="n">
        <v>0</v>
      </c>
      <c r="O350" t="n">
        <v>1</v>
      </c>
      <c r="P350" t="n">
        <v>0</v>
      </c>
      <c r="Q350" t="n">
        <v>1</v>
      </c>
      <c r="R350" s="2" t="inlineStr">
        <is>
          <t>Kastanjesopp</t>
        </is>
      </c>
      <c r="S350">
        <f>HYPERLINK("https://klasma.github.io/Logging_1489/artfynd/A 26240-2020 artfynd.xlsx", "A 26240-2020")</f>
        <v/>
      </c>
      <c r="T350">
        <f>HYPERLINK("https://klasma.github.io/Logging_1489/kartor/A 26240-2020 karta.png", "A 26240-2020")</f>
        <v/>
      </c>
      <c r="V350">
        <f>HYPERLINK("https://klasma.github.io/Logging_1489/klagomål/A 26240-2020 FSC-klagomål.docx", "A 26240-2020")</f>
        <v/>
      </c>
      <c r="W350">
        <f>HYPERLINK("https://klasma.github.io/Logging_1489/klagomålsmail/A 26240-2020 FSC-klagomål mail.docx", "A 26240-2020")</f>
        <v/>
      </c>
      <c r="X350">
        <f>HYPERLINK("https://klasma.github.io/Logging_1489/tillsyn/A 26240-2020 tillsynsbegäran.docx", "A 26240-2020")</f>
        <v/>
      </c>
      <c r="Y350">
        <f>HYPERLINK("https://klasma.github.io/Logging_1489/tillsynsmail/A 26240-2020 tillsynsbegäran mail.docx", "A 26240-2020")</f>
        <v/>
      </c>
    </row>
    <row r="351" ht="15" customHeight="1">
      <c r="A351" t="inlineStr">
        <is>
          <t>A 27329-2020</t>
        </is>
      </c>
      <c r="B351" s="1" t="n">
        <v>43992</v>
      </c>
      <c r="C351" s="1" t="n">
        <v>45227</v>
      </c>
      <c r="D351" t="inlineStr">
        <is>
          <t>VÄSTRA GÖTALANDS LÄN</t>
        </is>
      </c>
      <c r="E351" t="inlineStr">
        <is>
          <t>BORÅS</t>
        </is>
      </c>
      <c r="F351" t="inlineStr">
        <is>
          <t>Kommuner</t>
        </is>
      </c>
      <c r="G351" t="n">
        <v>2</v>
      </c>
      <c r="H351" t="n">
        <v>0</v>
      </c>
      <c r="I351" t="n">
        <v>1</v>
      </c>
      <c r="J351" t="n">
        <v>0</v>
      </c>
      <c r="K351" t="n">
        <v>0</v>
      </c>
      <c r="L351" t="n">
        <v>0</v>
      </c>
      <c r="M351" t="n">
        <v>0</v>
      </c>
      <c r="N351" t="n">
        <v>0</v>
      </c>
      <c r="O351" t="n">
        <v>0</v>
      </c>
      <c r="P351" t="n">
        <v>0</v>
      </c>
      <c r="Q351" t="n">
        <v>1</v>
      </c>
      <c r="R351" s="2" t="inlineStr">
        <is>
          <t>Björksplintborre</t>
        </is>
      </c>
      <c r="S351">
        <f>HYPERLINK("https://klasma.github.io/Logging_1490/artfynd/A 27329-2020 artfynd.xlsx", "A 27329-2020")</f>
        <v/>
      </c>
      <c r="T351">
        <f>HYPERLINK("https://klasma.github.io/Logging_1490/kartor/A 27329-2020 karta.png", "A 27329-2020")</f>
        <v/>
      </c>
      <c r="V351">
        <f>HYPERLINK("https://klasma.github.io/Logging_1490/klagomål/A 27329-2020 FSC-klagomål.docx", "A 27329-2020")</f>
        <v/>
      </c>
      <c r="W351">
        <f>HYPERLINK("https://klasma.github.io/Logging_1490/klagomålsmail/A 27329-2020 FSC-klagomål mail.docx", "A 27329-2020")</f>
        <v/>
      </c>
      <c r="X351">
        <f>HYPERLINK("https://klasma.github.io/Logging_1490/tillsyn/A 27329-2020 tillsynsbegäran.docx", "A 27329-2020")</f>
        <v/>
      </c>
      <c r="Y351">
        <f>HYPERLINK("https://klasma.github.io/Logging_1490/tillsynsmail/A 27329-2020 tillsynsbegäran mail.docx", "A 27329-2020")</f>
        <v/>
      </c>
    </row>
    <row r="352" ht="15" customHeight="1">
      <c r="A352" t="inlineStr">
        <is>
          <t>A 28412-2020</t>
        </is>
      </c>
      <c r="B352" s="1" t="n">
        <v>43998</v>
      </c>
      <c r="C352" s="1" t="n">
        <v>45227</v>
      </c>
      <c r="D352" t="inlineStr">
        <is>
          <t>VÄSTRA GÖTALANDS LÄN</t>
        </is>
      </c>
      <c r="E352" t="inlineStr">
        <is>
          <t>MARK</t>
        </is>
      </c>
      <c r="G352" t="n">
        <v>7.7</v>
      </c>
      <c r="H352" t="n">
        <v>0</v>
      </c>
      <c r="I352" t="n">
        <v>0</v>
      </c>
      <c r="J352" t="n">
        <v>1</v>
      </c>
      <c r="K352" t="n">
        <v>0</v>
      </c>
      <c r="L352" t="n">
        <v>0</v>
      </c>
      <c r="M352" t="n">
        <v>0</v>
      </c>
      <c r="N352" t="n">
        <v>0</v>
      </c>
      <c r="O352" t="n">
        <v>1</v>
      </c>
      <c r="P352" t="n">
        <v>0</v>
      </c>
      <c r="Q352" t="n">
        <v>1</v>
      </c>
      <c r="R352" s="2" t="inlineStr">
        <is>
          <t>Stubbtrådmossa</t>
        </is>
      </c>
      <c r="S352">
        <f>HYPERLINK("https://klasma.github.io/Logging_1463/artfynd/A 28412-2020 artfynd.xlsx", "A 28412-2020")</f>
        <v/>
      </c>
      <c r="T352">
        <f>HYPERLINK("https://klasma.github.io/Logging_1463/kartor/A 28412-2020 karta.png", "A 28412-2020")</f>
        <v/>
      </c>
      <c r="V352">
        <f>HYPERLINK("https://klasma.github.io/Logging_1463/klagomål/A 28412-2020 FSC-klagomål.docx", "A 28412-2020")</f>
        <v/>
      </c>
      <c r="W352">
        <f>HYPERLINK("https://klasma.github.io/Logging_1463/klagomålsmail/A 28412-2020 FSC-klagomål mail.docx", "A 28412-2020")</f>
        <v/>
      </c>
      <c r="X352">
        <f>HYPERLINK("https://klasma.github.io/Logging_1463/tillsyn/A 28412-2020 tillsynsbegäran.docx", "A 28412-2020")</f>
        <v/>
      </c>
      <c r="Y352">
        <f>HYPERLINK("https://klasma.github.io/Logging_1463/tillsynsmail/A 28412-2020 tillsynsbegäran mail.docx", "A 28412-2020")</f>
        <v/>
      </c>
    </row>
    <row r="353" ht="15" customHeight="1">
      <c r="A353" t="inlineStr">
        <is>
          <t>A 28666-2020</t>
        </is>
      </c>
      <c r="B353" s="1" t="n">
        <v>43999</v>
      </c>
      <c r="C353" s="1" t="n">
        <v>45227</v>
      </c>
      <c r="D353" t="inlineStr">
        <is>
          <t>VÄSTRA GÖTALANDS LÄN</t>
        </is>
      </c>
      <c r="E353" t="inlineStr">
        <is>
          <t>VÄNERSBORG</t>
        </is>
      </c>
      <c r="G353" t="n">
        <v>1.7</v>
      </c>
      <c r="H353" t="n">
        <v>0</v>
      </c>
      <c r="I353" t="n">
        <v>1</v>
      </c>
      <c r="J353" t="n">
        <v>0</v>
      </c>
      <c r="K353" t="n">
        <v>0</v>
      </c>
      <c r="L353" t="n">
        <v>0</v>
      </c>
      <c r="M353" t="n">
        <v>0</v>
      </c>
      <c r="N353" t="n">
        <v>0</v>
      </c>
      <c r="O353" t="n">
        <v>0</v>
      </c>
      <c r="P353" t="n">
        <v>0</v>
      </c>
      <c r="Q353" t="n">
        <v>1</v>
      </c>
      <c r="R353" s="2" t="inlineStr">
        <is>
          <t>Kambräken</t>
        </is>
      </c>
      <c r="S353">
        <f>HYPERLINK("https://klasma.github.io/Logging_1487/artfynd/A 28666-2020 artfynd.xlsx", "A 28666-2020")</f>
        <v/>
      </c>
      <c r="T353">
        <f>HYPERLINK("https://klasma.github.io/Logging_1487/kartor/A 28666-2020 karta.png", "A 28666-2020")</f>
        <v/>
      </c>
      <c r="V353">
        <f>HYPERLINK("https://klasma.github.io/Logging_1487/klagomål/A 28666-2020 FSC-klagomål.docx", "A 28666-2020")</f>
        <v/>
      </c>
      <c r="W353">
        <f>HYPERLINK("https://klasma.github.io/Logging_1487/klagomålsmail/A 28666-2020 FSC-klagomål mail.docx", "A 28666-2020")</f>
        <v/>
      </c>
      <c r="X353">
        <f>HYPERLINK("https://klasma.github.io/Logging_1487/tillsyn/A 28666-2020 tillsynsbegäran.docx", "A 28666-2020")</f>
        <v/>
      </c>
      <c r="Y353">
        <f>HYPERLINK("https://klasma.github.io/Logging_1487/tillsynsmail/A 28666-2020 tillsynsbegäran mail.docx", "A 28666-2020")</f>
        <v/>
      </c>
    </row>
    <row r="354" ht="15" customHeight="1">
      <c r="A354" t="inlineStr">
        <is>
          <t>A 30048-2020</t>
        </is>
      </c>
      <c r="B354" s="1" t="n">
        <v>44006</v>
      </c>
      <c r="C354" s="1" t="n">
        <v>45227</v>
      </c>
      <c r="D354" t="inlineStr">
        <is>
          <t>VÄSTRA GÖTALANDS LÄN</t>
        </is>
      </c>
      <c r="E354" t="inlineStr">
        <is>
          <t>STRÖMSTAD</t>
        </is>
      </c>
      <c r="G354" t="n">
        <v>4.8</v>
      </c>
      <c r="H354" t="n">
        <v>1</v>
      </c>
      <c r="I354" t="n">
        <v>0</v>
      </c>
      <c r="J354" t="n">
        <v>0</v>
      </c>
      <c r="K354" t="n">
        <v>0</v>
      </c>
      <c r="L354" t="n">
        <v>0</v>
      </c>
      <c r="M354" t="n">
        <v>0</v>
      </c>
      <c r="N354" t="n">
        <v>0</v>
      </c>
      <c r="O354" t="n">
        <v>0</v>
      </c>
      <c r="P354" t="n">
        <v>0</v>
      </c>
      <c r="Q354" t="n">
        <v>1</v>
      </c>
      <c r="R354" s="2" t="inlineStr">
        <is>
          <t>Blåsippa</t>
        </is>
      </c>
      <c r="S354">
        <f>HYPERLINK("https://klasma.github.io/Logging_1486/artfynd/A 30048-2020 artfynd.xlsx", "A 30048-2020")</f>
        <v/>
      </c>
      <c r="T354">
        <f>HYPERLINK("https://klasma.github.io/Logging_1486/kartor/A 30048-2020 karta.png", "A 30048-2020")</f>
        <v/>
      </c>
      <c r="V354">
        <f>HYPERLINK("https://klasma.github.io/Logging_1486/klagomål/A 30048-2020 FSC-klagomål.docx", "A 30048-2020")</f>
        <v/>
      </c>
      <c r="W354">
        <f>HYPERLINK("https://klasma.github.io/Logging_1486/klagomålsmail/A 30048-2020 FSC-klagomål mail.docx", "A 30048-2020")</f>
        <v/>
      </c>
      <c r="X354">
        <f>HYPERLINK("https://klasma.github.io/Logging_1486/tillsyn/A 30048-2020 tillsynsbegäran.docx", "A 30048-2020")</f>
        <v/>
      </c>
      <c r="Y354">
        <f>HYPERLINK("https://klasma.github.io/Logging_1486/tillsynsmail/A 30048-2020 tillsynsbegäran mail.docx", "A 30048-2020")</f>
        <v/>
      </c>
    </row>
    <row r="355" ht="15" customHeight="1">
      <c r="A355" t="inlineStr">
        <is>
          <t>A 33035-2020</t>
        </is>
      </c>
      <c r="B355" s="1" t="n">
        <v>44019</v>
      </c>
      <c r="C355" s="1" t="n">
        <v>45227</v>
      </c>
      <c r="D355" t="inlineStr">
        <is>
          <t>VÄSTRA GÖTALANDS LÄN</t>
        </is>
      </c>
      <c r="E355" t="inlineStr">
        <is>
          <t>MARK</t>
        </is>
      </c>
      <c r="F355" t="inlineStr">
        <is>
          <t>Kyrkan</t>
        </is>
      </c>
      <c r="G355" t="n">
        <v>3.8</v>
      </c>
      <c r="H355" t="n">
        <v>1</v>
      </c>
      <c r="I355" t="n">
        <v>0</v>
      </c>
      <c r="J355" t="n">
        <v>0</v>
      </c>
      <c r="K355" t="n">
        <v>1</v>
      </c>
      <c r="L355" t="n">
        <v>0</v>
      </c>
      <c r="M355" t="n">
        <v>0</v>
      </c>
      <c r="N355" t="n">
        <v>0</v>
      </c>
      <c r="O355" t="n">
        <v>1</v>
      </c>
      <c r="P355" t="n">
        <v>1</v>
      </c>
      <c r="Q355" t="n">
        <v>1</v>
      </c>
      <c r="R355" s="2" t="inlineStr">
        <is>
          <t>Knärot</t>
        </is>
      </c>
      <c r="S355">
        <f>HYPERLINK("https://klasma.github.io/Logging_1463/artfynd/A 33035-2020 artfynd.xlsx", "A 33035-2020")</f>
        <v/>
      </c>
      <c r="T355">
        <f>HYPERLINK("https://klasma.github.io/Logging_1463/kartor/A 33035-2020 karta.png", "A 33035-2020")</f>
        <v/>
      </c>
      <c r="U355">
        <f>HYPERLINK("https://klasma.github.io/Logging_1463/knärot/A 33035-2020 karta knärot.png", "A 33035-2020")</f>
        <v/>
      </c>
      <c r="V355">
        <f>HYPERLINK("https://klasma.github.io/Logging_1463/klagomål/A 33035-2020 FSC-klagomål.docx", "A 33035-2020")</f>
        <v/>
      </c>
      <c r="W355">
        <f>HYPERLINK("https://klasma.github.io/Logging_1463/klagomålsmail/A 33035-2020 FSC-klagomål mail.docx", "A 33035-2020")</f>
        <v/>
      </c>
      <c r="X355">
        <f>HYPERLINK("https://klasma.github.io/Logging_1463/tillsyn/A 33035-2020 tillsynsbegäran.docx", "A 33035-2020")</f>
        <v/>
      </c>
      <c r="Y355">
        <f>HYPERLINK("https://klasma.github.io/Logging_1463/tillsynsmail/A 33035-2020 tillsynsbegäran mail.docx", "A 33035-2020")</f>
        <v/>
      </c>
    </row>
    <row r="356" ht="15" customHeight="1">
      <c r="A356" t="inlineStr">
        <is>
          <t>A 33057-2020</t>
        </is>
      </c>
      <c r="B356" s="1" t="n">
        <v>44020</v>
      </c>
      <c r="C356" s="1" t="n">
        <v>45227</v>
      </c>
      <c r="D356" t="inlineStr">
        <is>
          <t>VÄSTRA GÖTALANDS LÄN</t>
        </is>
      </c>
      <c r="E356" t="inlineStr">
        <is>
          <t>TIDAHOLM</t>
        </is>
      </c>
      <c r="F356" t="inlineStr">
        <is>
          <t>Allmännings- och besparingsskogar</t>
        </is>
      </c>
      <c r="G356" t="n">
        <v>3</v>
      </c>
      <c r="H356" t="n">
        <v>0</v>
      </c>
      <c r="I356" t="n">
        <v>1</v>
      </c>
      <c r="J356" t="n">
        <v>0</v>
      </c>
      <c r="K356" t="n">
        <v>0</v>
      </c>
      <c r="L356" t="n">
        <v>0</v>
      </c>
      <c r="M356" t="n">
        <v>0</v>
      </c>
      <c r="N356" t="n">
        <v>0</v>
      </c>
      <c r="O356" t="n">
        <v>0</v>
      </c>
      <c r="P356" t="n">
        <v>0</v>
      </c>
      <c r="Q356" t="n">
        <v>1</v>
      </c>
      <c r="R356" s="2" t="inlineStr">
        <is>
          <t>Blomkålssvamp</t>
        </is>
      </c>
      <c r="S356">
        <f>HYPERLINK("https://klasma.github.io/Logging_1498/artfynd/A 33057-2020 artfynd.xlsx", "A 33057-2020")</f>
        <v/>
      </c>
      <c r="T356">
        <f>HYPERLINK("https://klasma.github.io/Logging_1498/kartor/A 33057-2020 karta.png", "A 33057-2020")</f>
        <v/>
      </c>
      <c r="V356">
        <f>HYPERLINK("https://klasma.github.io/Logging_1498/klagomål/A 33057-2020 FSC-klagomål.docx", "A 33057-2020")</f>
        <v/>
      </c>
      <c r="W356">
        <f>HYPERLINK("https://klasma.github.io/Logging_1498/klagomålsmail/A 33057-2020 FSC-klagomål mail.docx", "A 33057-2020")</f>
        <v/>
      </c>
      <c r="X356">
        <f>HYPERLINK("https://klasma.github.io/Logging_1498/tillsyn/A 33057-2020 tillsynsbegäran.docx", "A 33057-2020")</f>
        <v/>
      </c>
      <c r="Y356">
        <f>HYPERLINK("https://klasma.github.io/Logging_1498/tillsynsmail/A 33057-2020 tillsynsbegäran mail.docx", "A 33057-2020")</f>
        <v/>
      </c>
    </row>
    <row r="357" ht="15" customHeight="1">
      <c r="A357" t="inlineStr">
        <is>
          <t>A 37216-2020</t>
        </is>
      </c>
      <c r="B357" s="1" t="n">
        <v>44054</v>
      </c>
      <c r="C357" s="1" t="n">
        <v>45227</v>
      </c>
      <c r="D357" t="inlineStr">
        <is>
          <t>VÄSTRA GÖTALANDS LÄN</t>
        </is>
      </c>
      <c r="E357" t="inlineStr">
        <is>
          <t>SKÖVDE</t>
        </is>
      </c>
      <c r="G357" t="n">
        <v>1.3</v>
      </c>
      <c r="H357" t="n">
        <v>1</v>
      </c>
      <c r="I357" t="n">
        <v>0</v>
      </c>
      <c r="J357" t="n">
        <v>0</v>
      </c>
      <c r="K357" t="n">
        <v>0</v>
      </c>
      <c r="L357" t="n">
        <v>0</v>
      </c>
      <c r="M357" t="n">
        <v>0</v>
      </c>
      <c r="N357" t="n">
        <v>0</v>
      </c>
      <c r="O357" t="n">
        <v>0</v>
      </c>
      <c r="P357" t="n">
        <v>0</v>
      </c>
      <c r="Q357" t="n">
        <v>1</v>
      </c>
      <c r="R357" s="2" t="inlineStr">
        <is>
          <t>Revlummer</t>
        </is>
      </c>
      <c r="S357">
        <f>HYPERLINK("https://klasma.github.io/Logging_1496/artfynd/A 37216-2020 artfynd.xlsx", "A 37216-2020")</f>
        <v/>
      </c>
      <c r="T357">
        <f>HYPERLINK("https://klasma.github.io/Logging_1496/kartor/A 37216-2020 karta.png", "A 37216-2020")</f>
        <v/>
      </c>
      <c r="V357">
        <f>HYPERLINK("https://klasma.github.io/Logging_1496/klagomål/A 37216-2020 FSC-klagomål.docx", "A 37216-2020")</f>
        <v/>
      </c>
      <c r="W357">
        <f>HYPERLINK("https://klasma.github.io/Logging_1496/klagomålsmail/A 37216-2020 FSC-klagomål mail.docx", "A 37216-2020")</f>
        <v/>
      </c>
      <c r="X357">
        <f>HYPERLINK("https://klasma.github.io/Logging_1496/tillsyn/A 37216-2020 tillsynsbegäran.docx", "A 37216-2020")</f>
        <v/>
      </c>
      <c r="Y357">
        <f>HYPERLINK("https://klasma.github.io/Logging_1496/tillsynsmail/A 37216-2020 tillsynsbegäran mail.docx", "A 37216-2020")</f>
        <v/>
      </c>
    </row>
    <row r="358" ht="15" customHeight="1">
      <c r="A358" t="inlineStr">
        <is>
          <t>A 37323-2020</t>
        </is>
      </c>
      <c r="B358" s="1" t="n">
        <v>44055</v>
      </c>
      <c r="C358" s="1" t="n">
        <v>45227</v>
      </c>
      <c r="D358" t="inlineStr">
        <is>
          <t>VÄSTRA GÖTALANDS LÄN</t>
        </is>
      </c>
      <c r="E358" t="inlineStr">
        <is>
          <t>MARIESTAD</t>
        </is>
      </c>
      <c r="G358" t="n">
        <v>1.5</v>
      </c>
      <c r="H358" t="n">
        <v>1</v>
      </c>
      <c r="I358" t="n">
        <v>0</v>
      </c>
      <c r="J358" t="n">
        <v>0</v>
      </c>
      <c r="K358" t="n">
        <v>0</v>
      </c>
      <c r="L358" t="n">
        <v>0</v>
      </c>
      <c r="M358" t="n">
        <v>0</v>
      </c>
      <c r="N358" t="n">
        <v>0</v>
      </c>
      <c r="O358" t="n">
        <v>0</v>
      </c>
      <c r="P358" t="n">
        <v>0</v>
      </c>
      <c r="Q358" t="n">
        <v>1</v>
      </c>
      <c r="R358" s="2" t="inlineStr">
        <is>
          <t>Mattlummer</t>
        </is>
      </c>
      <c r="S358">
        <f>HYPERLINK("https://klasma.github.io/Logging_1493/artfynd/A 37323-2020 artfynd.xlsx", "A 37323-2020")</f>
        <v/>
      </c>
      <c r="T358">
        <f>HYPERLINK("https://klasma.github.io/Logging_1493/kartor/A 37323-2020 karta.png", "A 37323-2020")</f>
        <v/>
      </c>
      <c r="V358">
        <f>HYPERLINK("https://klasma.github.io/Logging_1493/klagomål/A 37323-2020 FSC-klagomål.docx", "A 37323-2020")</f>
        <v/>
      </c>
      <c r="W358">
        <f>HYPERLINK("https://klasma.github.io/Logging_1493/klagomålsmail/A 37323-2020 FSC-klagomål mail.docx", "A 37323-2020")</f>
        <v/>
      </c>
      <c r="X358">
        <f>HYPERLINK("https://klasma.github.io/Logging_1493/tillsyn/A 37323-2020 tillsynsbegäran.docx", "A 37323-2020")</f>
        <v/>
      </c>
      <c r="Y358">
        <f>HYPERLINK("https://klasma.github.io/Logging_1493/tillsynsmail/A 37323-2020 tillsynsbegäran mail.docx", "A 37323-2020")</f>
        <v/>
      </c>
    </row>
    <row r="359" ht="15" customHeight="1">
      <c r="A359" t="inlineStr">
        <is>
          <t>A 38818-2020</t>
        </is>
      </c>
      <c r="B359" s="1" t="n">
        <v>44061</v>
      </c>
      <c r="C359" s="1" t="n">
        <v>45227</v>
      </c>
      <c r="D359" t="inlineStr">
        <is>
          <t>VÄSTRA GÖTALANDS LÄN</t>
        </is>
      </c>
      <c r="E359" t="inlineStr">
        <is>
          <t>MELLERUD</t>
        </is>
      </c>
      <c r="G359" t="n">
        <v>30.6</v>
      </c>
      <c r="H359" t="n">
        <v>0</v>
      </c>
      <c r="I359" t="n">
        <v>0</v>
      </c>
      <c r="J359" t="n">
        <v>1</v>
      </c>
      <c r="K359" t="n">
        <v>0</v>
      </c>
      <c r="L359" t="n">
        <v>0</v>
      </c>
      <c r="M359" t="n">
        <v>0</v>
      </c>
      <c r="N359" t="n">
        <v>0</v>
      </c>
      <c r="O359" t="n">
        <v>1</v>
      </c>
      <c r="P359" t="n">
        <v>0</v>
      </c>
      <c r="Q359" t="n">
        <v>1</v>
      </c>
      <c r="R359" s="2" t="inlineStr">
        <is>
          <t>Bergjohannesört</t>
        </is>
      </c>
      <c r="S359">
        <f>HYPERLINK("https://klasma.github.io/Logging_1461/artfynd/A 38818-2020 artfynd.xlsx", "A 38818-2020")</f>
        <v/>
      </c>
      <c r="T359">
        <f>HYPERLINK("https://klasma.github.io/Logging_1461/kartor/A 38818-2020 karta.png", "A 38818-2020")</f>
        <v/>
      </c>
      <c r="V359">
        <f>HYPERLINK("https://klasma.github.io/Logging_1461/klagomål/A 38818-2020 FSC-klagomål.docx", "A 38818-2020")</f>
        <v/>
      </c>
      <c r="W359">
        <f>HYPERLINK("https://klasma.github.io/Logging_1461/klagomålsmail/A 38818-2020 FSC-klagomål mail.docx", "A 38818-2020")</f>
        <v/>
      </c>
      <c r="X359">
        <f>HYPERLINK("https://klasma.github.io/Logging_1461/tillsyn/A 38818-2020 tillsynsbegäran.docx", "A 38818-2020")</f>
        <v/>
      </c>
      <c r="Y359">
        <f>HYPERLINK("https://klasma.github.io/Logging_1461/tillsynsmail/A 38818-2020 tillsynsbegäran mail.docx", "A 38818-2020")</f>
        <v/>
      </c>
    </row>
    <row r="360" ht="15" customHeight="1">
      <c r="A360" t="inlineStr">
        <is>
          <t>A 40799-2020</t>
        </is>
      </c>
      <c r="B360" s="1" t="n">
        <v>44070</v>
      </c>
      <c r="C360" s="1" t="n">
        <v>45227</v>
      </c>
      <c r="D360" t="inlineStr">
        <is>
          <t>VÄSTRA GÖTALANDS LÄN</t>
        </is>
      </c>
      <c r="E360" t="inlineStr">
        <is>
          <t>LERUM</t>
        </is>
      </c>
      <c r="G360" t="n">
        <v>4.6</v>
      </c>
      <c r="H360" t="n">
        <v>1</v>
      </c>
      <c r="I360" t="n">
        <v>0</v>
      </c>
      <c r="J360" t="n">
        <v>0</v>
      </c>
      <c r="K360" t="n">
        <v>1</v>
      </c>
      <c r="L360" t="n">
        <v>0</v>
      </c>
      <c r="M360" t="n">
        <v>0</v>
      </c>
      <c r="N360" t="n">
        <v>0</v>
      </c>
      <c r="O360" t="n">
        <v>1</v>
      </c>
      <c r="P360" t="n">
        <v>1</v>
      </c>
      <c r="Q360" t="n">
        <v>1</v>
      </c>
      <c r="R360" s="2" t="inlineStr">
        <is>
          <t>Knärot</t>
        </is>
      </c>
      <c r="S360">
        <f>HYPERLINK("https://klasma.github.io/Logging_1441/artfynd/A 40799-2020 artfynd.xlsx", "A 40799-2020")</f>
        <v/>
      </c>
      <c r="T360">
        <f>HYPERLINK("https://klasma.github.io/Logging_1441/kartor/A 40799-2020 karta.png", "A 40799-2020")</f>
        <v/>
      </c>
      <c r="U360">
        <f>HYPERLINK("https://klasma.github.io/Logging_1441/knärot/A 40799-2020 karta knärot.png", "A 40799-2020")</f>
        <v/>
      </c>
      <c r="V360">
        <f>HYPERLINK("https://klasma.github.io/Logging_1441/klagomål/A 40799-2020 FSC-klagomål.docx", "A 40799-2020")</f>
        <v/>
      </c>
      <c r="W360">
        <f>HYPERLINK("https://klasma.github.io/Logging_1441/klagomålsmail/A 40799-2020 FSC-klagomål mail.docx", "A 40799-2020")</f>
        <v/>
      </c>
      <c r="X360">
        <f>HYPERLINK("https://klasma.github.io/Logging_1441/tillsyn/A 40799-2020 tillsynsbegäran.docx", "A 40799-2020")</f>
        <v/>
      </c>
      <c r="Y360">
        <f>HYPERLINK("https://klasma.github.io/Logging_1441/tillsynsmail/A 40799-2020 tillsynsbegäran mail.docx", "A 40799-2020")</f>
        <v/>
      </c>
    </row>
    <row r="361" ht="15" customHeight="1">
      <c r="A361" t="inlineStr">
        <is>
          <t>A 41328-2020</t>
        </is>
      </c>
      <c r="B361" s="1" t="n">
        <v>44071</v>
      </c>
      <c r="C361" s="1" t="n">
        <v>45227</v>
      </c>
      <c r="D361" t="inlineStr">
        <is>
          <t>VÄSTRA GÖTALANDS LÄN</t>
        </is>
      </c>
      <c r="E361" t="inlineStr">
        <is>
          <t>BENGTSFORS</t>
        </is>
      </c>
      <c r="G361" t="n">
        <v>6.3</v>
      </c>
      <c r="H361" t="n">
        <v>1</v>
      </c>
      <c r="I361" t="n">
        <v>0</v>
      </c>
      <c r="J361" t="n">
        <v>1</v>
      </c>
      <c r="K361" t="n">
        <v>0</v>
      </c>
      <c r="L361" t="n">
        <v>0</v>
      </c>
      <c r="M361" t="n">
        <v>0</v>
      </c>
      <c r="N361" t="n">
        <v>0</v>
      </c>
      <c r="O361" t="n">
        <v>1</v>
      </c>
      <c r="P361" t="n">
        <v>0</v>
      </c>
      <c r="Q361" t="n">
        <v>1</v>
      </c>
      <c r="R361" s="2" t="inlineStr">
        <is>
          <t>Spillkråka</t>
        </is>
      </c>
      <c r="S361">
        <f>HYPERLINK("https://klasma.github.io/Logging_1460/artfynd/A 41328-2020 artfynd.xlsx", "A 41328-2020")</f>
        <v/>
      </c>
      <c r="T361">
        <f>HYPERLINK("https://klasma.github.io/Logging_1460/kartor/A 41328-2020 karta.png", "A 41328-2020")</f>
        <v/>
      </c>
      <c r="V361">
        <f>HYPERLINK("https://klasma.github.io/Logging_1460/klagomål/A 41328-2020 FSC-klagomål.docx", "A 41328-2020")</f>
        <v/>
      </c>
      <c r="W361">
        <f>HYPERLINK("https://klasma.github.io/Logging_1460/klagomålsmail/A 41328-2020 FSC-klagomål mail.docx", "A 41328-2020")</f>
        <v/>
      </c>
      <c r="X361">
        <f>HYPERLINK("https://klasma.github.io/Logging_1460/tillsyn/A 41328-2020 tillsynsbegäran.docx", "A 41328-2020")</f>
        <v/>
      </c>
      <c r="Y361">
        <f>HYPERLINK("https://klasma.github.io/Logging_1460/tillsynsmail/A 41328-2020 tillsynsbegäran mail.docx", "A 41328-2020")</f>
        <v/>
      </c>
    </row>
    <row r="362" ht="15" customHeight="1">
      <c r="A362" t="inlineStr">
        <is>
          <t>A 41211-2020</t>
        </is>
      </c>
      <c r="B362" s="1" t="n">
        <v>44071</v>
      </c>
      <c r="C362" s="1" t="n">
        <v>45227</v>
      </c>
      <c r="D362" t="inlineStr">
        <is>
          <t>VÄSTRA GÖTALANDS LÄN</t>
        </is>
      </c>
      <c r="E362" t="inlineStr">
        <is>
          <t>STRÖMSTAD</t>
        </is>
      </c>
      <c r="G362" t="n">
        <v>2</v>
      </c>
      <c r="H362" t="n">
        <v>0</v>
      </c>
      <c r="I362" t="n">
        <v>0</v>
      </c>
      <c r="J362" t="n">
        <v>1</v>
      </c>
      <c r="K362" t="n">
        <v>0</v>
      </c>
      <c r="L362" t="n">
        <v>0</v>
      </c>
      <c r="M362" t="n">
        <v>0</v>
      </c>
      <c r="N362" t="n">
        <v>0</v>
      </c>
      <c r="O362" t="n">
        <v>1</v>
      </c>
      <c r="P362" t="n">
        <v>0</v>
      </c>
      <c r="Q362" t="n">
        <v>1</v>
      </c>
      <c r="R362" s="2" t="inlineStr">
        <is>
          <t>Slåtterfibbla</t>
        </is>
      </c>
      <c r="S362">
        <f>HYPERLINK("https://klasma.github.io/Logging_1486/artfynd/A 41211-2020 artfynd.xlsx", "A 41211-2020")</f>
        <v/>
      </c>
      <c r="T362">
        <f>HYPERLINK("https://klasma.github.io/Logging_1486/kartor/A 41211-2020 karta.png", "A 41211-2020")</f>
        <v/>
      </c>
      <c r="V362">
        <f>HYPERLINK("https://klasma.github.io/Logging_1486/klagomål/A 41211-2020 FSC-klagomål.docx", "A 41211-2020")</f>
        <v/>
      </c>
      <c r="W362">
        <f>HYPERLINK("https://klasma.github.io/Logging_1486/klagomålsmail/A 41211-2020 FSC-klagomål mail.docx", "A 41211-2020")</f>
        <v/>
      </c>
      <c r="X362">
        <f>HYPERLINK("https://klasma.github.io/Logging_1486/tillsyn/A 41211-2020 tillsynsbegäran.docx", "A 41211-2020")</f>
        <v/>
      </c>
      <c r="Y362">
        <f>HYPERLINK("https://klasma.github.io/Logging_1486/tillsynsmail/A 41211-2020 tillsynsbegäran mail.docx", "A 41211-2020")</f>
        <v/>
      </c>
    </row>
    <row r="363" ht="15" customHeight="1">
      <c r="A363" t="inlineStr">
        <is>
          <t>A 41475-2020</t>
        </is>
      </c>
      <c r="B363" s="1" t="n">
        <v>44074</v>
      </c>
      <c r="C363" s="1" t="n">
        <v>45227</v>
      </c>
      <c r="D363" t="inlineStr">
        <is>
          <t>VÄSTRA GÖTALANDS LÄN</t>
        </is>
      </c>
      <c r="E363" t="inlineStr">
        <is>
          <t>MELLERUD</t>
        </is>
      </c>
      <c r="G363" t="n">
        <v>0.9</v>
      </c>
      <c r="H363" t="n">
        <v>0</v>
      </c>
      <c r="I363" t="n">
        <v>1</v>
      </c>
      <c r="J363" t="n">
        <v>0</v>
      </c>
      <c r="K363" t="n">
        <v>0</v>
      </c>
      <c r="L363" t="n">
        <v>0</v>
      </c>
      <c r="M363" t="n">
        <v>0</v>
      </c>
      <c r="N363" t="n">
        <v>0</v>
      </c>
      <c r="O363" t="n">
        <v>0</v>
      </c>
      <c r="P363" t="n">
        <v>0</v>
      </c>
      <c r="Q363" t="n">
        <v>1</v>
      </c>
      <c r="R363" s="2" t="inlineStr">
        <is>
          <t>Strävlosta</t>
        </is>
      </c>
      <c r="S363">
        <f>HYPERLINK("https://klasma.github.io/Logging_1461/artfynd/A 41475-2020 artfynd.xlsx", "A 41475-2020")</f>
        <v/>
      </c>
      <c r="T363">
        <f>HYPERLINK("https://klasma.github.io/Logging_1461/kartor/A 41475-2020 karta.png", "A 41475-2020")</f>
        <v/>
      </c>
      <c r="V363">
        <f>HYPERLINK("https://klasma.github.io/Logging_1461/klagomål/A 41475-2020 FSC-klagomål.docx", "A 41475-2020")</f>
        <v/>
      </c>
      <c r="W363">
        <f>HYPERLINK("https://klasma.github.io/Logging_1461/klagomålsmail/A 41475-2020 FSC-klagomål mail.docx", "A 41475-2020")</f>
        <v/>
      </c>
      <c r="X363">
        <f>HYPERLINK("https://klasma.github.io/Logging_1461/tillsyn/A 41475-2020 tillsynsbegäran.docx", "A 41475-2020")</f>
        <v/>
      </c>
      <c r="Y363">
        <f>HYPERLINK("https://klasma.github.io/Logging_1461/tillsynsmail/A 41475-2020 tillsynsbegäran mail.docx", "A 41475-2020")</f>
        <v/>
      </c>
    </row>
    <row r="364" ht="15" customHeight="1">
      <c r="A364" t="inlineStr">
        <is>
          <t>A 46628-2020</t>
        </is>
      </c>
      <c r="B364" s="1" t="n">
        <v>44089</v>
      </c>
      <c r="C364" s="1" t="n">
        <v>45227</v>
      </c>
      <c r="D364" t="inlineStr">
        <is>
          <t>VÄSTRA GÖTALANDS LÄN</t>
        </is>
      </c>
      <c r="E364" t="inlineStr">
        <is>
          <t>TIDAHOLM</t>
        </is>
      </c>
      <c r="G364" t="n">
        <v>4.8</v>
      </c>
      <c r="H364" t="n">
        <v>1</v>
      </c>
      <c r="I364" t="n">
        <v>0</v>
      </c>
      <c r="J364" t="n">
        <v>0</v>
      </c>
      <c r="K364" t="n">
        <v>0</v>
      </c>
      <c r="L364" t="n">
        <v>1</v>
      </c>
      <c r="M364" t="n">
        <v>0</v>
      </c>
      <c r="N364" t="n">
        <v>0</v>
      </c>
      <c r="O364" t="n">
        <v>1</v>
      </c>
      <c r="P364" t="n">
        <v>1</v>
      </c>
      <c r="Q364" t="n">
        <v>1</v>
      </c>
      <c r="R364" s="2" t="inlineStr">
        <is>
          <t>Storspov</t>
        </is>
      </c>
      <c r="S364">
        <f>HYPERLINK("https://klasma.github.io/Logging_1498/artfynd/A 46628-2020 artfynd.xlsx", "A 46628-2020")</f>
        <v/>
      </c>
      <c r="T364">
        <f>HYPERLINK("https://klasma.github.io/Logging_1498/kartor/A 46628-2020 karta.png", "A 46628-2020")</f>
        <v/>
      </c>
      <c r="V364">
        <f>HYPERLINK("https://klasma.github.io/Logging_1498/klagomål/A 46628-2020 FSC-klagomål.docx", "A 46628-2020")</f>
        <v/>
      </c>
      <c r="W364">
        <f>HYPERLINK("https://klasma.github.io/Logging_1498/klagomålsmail/A 46628-2020 FSC-klagomål mail.docx", "A 46628-2020")</f>
        <v/>
      </c>
      <c r="X364">
        <f>HYPERLINK("https://klasma.github.io/Logging_1498/tillsyn/A 46628-2020 tillsynsbegäran.docx", "A 46628-2020")</f>
        <v/>
      </c>
      <c r="Y364">
        <f>HYPERLINK("https://klasma.github.io/Logging_1498/tillsynsmail/A 46628-2020 tillsynsbegäran mail.docx", "A 46628-2020")</f>
        <v/>
      </c>
    </row>
    <row r="365" ht="15" customHeight="1">
      <c r="A365" t="inlineStr">
        <is>
          <t>A 50811-2020</t>
        </is>
      </c>
      <c r="B365" s="1" t="n">
        <v>44111</v>
      </c>
      <c r="C365" s="1" t="n">
        <v>45227</v>
      </c>
      <c r="D365" t="inlineStr">
        <is>
          <t>VÄSTRA GÖTALANDS LÄN</t>
        </is>
      </c>
      <c r="E365" t="inlineStr">
        <is>
          <t>MARIESTAD</t>
        </is>
      </c>
      <c r="G365" t="n">
        <v>1.8</v>
      </c>
      <c r="H365" t="n">
        <v>1</v>
      </c>
      <c r="I365" t="n">
        <v>0</v>
      </c>
      <c r="J365" t="n">
        <v>0</v>
      </c>
      <c r="K365" t="n">
        <v>0</v>
      </c>
      <c r="L365" t="n">
        <v>0</v>
      </c>
      <c r="M365" t="n">
        <v>0</v>
      </c>
      <c r="N365" t="n">
        <v>0</v>
      </c>
      <c r="O365" t="n">
        <v>0</v>
      </c>
      <c r="P365" t="n">
        <v>0</v>
      </c>
      <c r="Q365" t="n">
        <v>1</v>
      </c>
      <c r="R365" s="2" t="inlineStr">
        <is>
          <t>Blåsippa</t>
        </is>
      </c>
      <c r="S365">
        <f>HYPERLINK("https://klasma.github.io/Logging_1493/artfynd/A 50811-2020 artfynd.xlsx", "A 50811-2020")</f>
        <v/>
      </c>
      <c r="T365">
        <f>HYPERLINK("https://klasma.github.io/Logging_1493/kartor/A 50811-2020 karta.png", "A 50811-2020")</f>
        <v/>
      </c>
      <c r="V365">
        <f>HYPERLINK("https://klasma.github.io/Logging_1493/klagomål/A 50811-2020 FSC-klagomål.docx", "A 50811-2020")</f>
        <v/>
      </c>
      <c r="W365">
        <f>HYPERLINK("https://klasma.github.io/Logging_1493/klagomålsmail/A 50811-2020 FSC-klagomål mail.docx", "A 50811-2020")</f>
        <v/>
      </c>
      <c r="X365">
        <f>HYPERLINK("https://klasma.github.io/Logging_1493/tillsyn/A 50811-2020 tillsynsbegäran.docx", "A 50811-2020")</f>
        <v/>
      </c>
      <c r="Y365">
        <f>HYPERLINK("https://klasma.github.io/Logging_1493/tillsynsmail/A 50811-2020 tillsynsbegäran mail.docx", "A 50811-2020")</f>
        <v/>
      </c>
    </row>
    <row r="366" ht="15" customHeight="1">
      <c r="A366" t="inlineStr">
        <is>
          <t>A 51309-2020</t>
        </is>
      </c>
      <c r="B366" s="1" t="n">
        <v>44112</v>
      </c>
      <c r="C366" s="1" t="n">
        <v>45227</v>
      </c>
      <c r="D366" t="inlineStr">
        <is>
          <t>VÄSTRA GÖTALANDS LÄN</t>
        </is>
      </c>
      <c r="E366" t="inlineStr">
        <is>
          <t>GULLSPÅNG</t>
        </is>
      </c>
      <c r="G366" t="n">
        <v>3.6</v>
      </c>
      <c r="H366" t="n">
        <v>0</v>
      </c>
      <c r="I366" t="n">
        <v>1</v>
      </c>
      <c r="J366" t="n">
        <v>0</v>
      </c>
      <c r="K366" t="n">
        <v>0</v>
      </c>
      <c r="L366" t="n">
        <v>0</v>
      </c>
      <c r="M366" t="n">
        <v>0</v>
      </c>
      <c r="N366" t="n">
        <v>0</v>
      </c>
      <c r="O366" t="n">
        <v>0</v>
      </c>
      <c r="P366" t="n">
        <v>0</v>
      </c>
      <c r="Q366" t="n">
        <v>1</v>
      </c>
      <c r="R366" s="2" t="inlineStr">
        <is>
          <t>Grönpyrola</t>
        </is>
      </c>
      <c r="S366">
        <f>HYPERLINK("https://klasma.github.io/Logging_1447/artfynd/A 51309-2020 artfynd.xlsx", "A 51309-2020")</f>
        <v/>
      </c>
      <c r="T366">
        <f>HYPERLINK("https://klasma.github.io/Logging_1447/kartor/A 51309-2020 karta.png", "A 51309-2020")</f>
        <v/>
      </c>
      <c r="V366">
        <f>HYPERLINK("https://klasma.github.io/Logging_1447/klagomål/A 51309-2020 FSC-klagomål.docx", "A 51309-2020")</f>
        <v/>
      </c>
      <c r="W366">
        <f>HYPERLINK("https://klasma.github.io/Logging_1447/klagomålsmail/A 51309-2020 FSC-klagomål mail.docx", "A 51309-2020")</f>
        <v/>
      </c>
      <c r="X366">
        <f>HYPERLINK("https://klasma.github.io/Logging_1447/tillsyn/A 51309-2020 tillsynsbegäran.docx", "A 51309-2020")</f>
        <v/>
      </c>
      <c r="Y366">
        <f>HYPERLINK("https://klasma.github.io/Logging_1447/tillsynsmail/A 51309-2020 tillsynsbegäran mail.docx", "A 51309-2020")</f>
        <v/>
      </c>
    </row>
    <row r="367" ht="15" customHeight="1">
      <c r="A367" t="inlineStr">
        <is>
          <t>A 51541-2020</t>
        </is>
      </c>
      <c r="B367" s="1" t="n">
        <v>44113</v>
      </c>
      <c r="C367" s="1" t="n">
        <v>45227</v>
      </c>
      <c r="D367" t="inlineStr">
        <is>
          <t>VÄSTRA GÖTALANDS LÄN</t>
        </is>
      </c>
      <c r="E367" t="inlineStr">
        <is>
          <t>BOLLEBYGD</t>
        </is>
      </c>
      <c r="G367" t="n">
        <v>2.4</v>
      </c>
      <c r="H367" t="n">
        <v>0</v>
      </c>
      <c r="I367" t="n">
        <v>1</v>
      </c>
      <c r="J367" t="n">
        <v>0</v>
      </c>
      <c r="K367" t="n">
        <v>0</v>
      </c>
      <c r="L367" t="n">
        <v>0</v>
      </c>
      <c r="M367" t="n">
        <v>0</v>
      </c>
      <c r="N367" t="n">
        <v>0</v>
      </c>
      <c r="O367" t="n">
        <v>0</v>
      </c>
      <c r="P367" t="n">
        <v>0</v>
      </c>
      <c r="Q367" t="n">
        <v>1</v>
      </c>
      <c r="R367" s="2" t="inlineStr">
        <is>
          <t>Kambräken</t>
        </is>
      </c>
      <c r="S367">
        <f>HYPERLINK("https://klasma.github.io/Logging_1443/artfynd/A 51541-2020 artfynd.xlsx", "A 51541-2020")</f>
        <v/>
      </c>
      <c r="T367">
        <f>HYPERLINK("https://klasma.github.io/Logging_1443/kartor/A 51541-2020 karta.png", "A 51541-2020")</f>
        <v/>
      </c>
      <c r="V367">
        <f>HYPERLINK("https://klasma.github.io/Logging_1443/klagomål/A 51541-2020 FSC-klagomål.docx", "A 51541-2020")</f>
        <v/>
      </c>
      <c r="W367">
        <f>HYPERLINK("https://klasma.github.io/Logging_1443/klagomålsmail/A 51541-2020 FSC-klagomål mail.docx", "A 51541-2020")</f>
        <v/>
      </c>
      <c r="X367">
        <f>HYPERLINK("https://klasma.github.io/Logging_1443/tillsyn/A 51541-2020 tillsynsbegäran.docx", "A 51541-2020")</f>
        <v/>
      </c>
      <c r="Y367">
        <f>HYPERLINK("https://klasma.github.io/Logging_1443/tillsynsmail/A 51541-2020 tillsynsbegäran mail.docx", "A 51541-2020")</f>
        <v/>
      </c>
    </row>
    <row r="368" ht="15" customHeight="1">
      <c r="A368" t="inlineStr">
        <is>
          <t>A 53041-2020</t>
        </is>
      </c>
      <c r="B368" s="1" t="n">
        <v>44120</v>
      </c>
      <c r="C368" s="1" t="n">
        <v>45227</v>
      </c>
      <c r="D368" t="inlineStr">
        <is>
          <t>VÄSTRA GÖTALANDS LÄN</t>
        </is>
      </c>
      <c r="E368" t="inlineStr">
        <is>
          <t>ULRICEHAMN</t>
        </is>
      </c>
      <c r="G368" t="n">
        <v>17.6</v>
      </c>
      <c r="H368" t="n">
        <v>1</v>
      </c>
      <c r="I368" t="n">
        <v>0</v>
      </c>
      <c r="J368" t="n">
        <v>1</v>
      </c>
      <c r="K368" t="n">
        <v>0</v>
      </c>
      <c r="L368" t="n">
        <v>0</v>
      </c>
      <c r="M368" t="n">
        <v>0</v>
      </c>
      <c r="N368" t="n">
        <v>0</v>
      </c>
      <c r="O368" t="n">
        <v>1</v>
      </c>
      <c r="P368" t="n">
        <v>0</v>
      </c>
      <c r="Q368" t="n">
        <v>1</v>
      </c>
      <c r="R368" s="2" t="inlineStr">
        <is>
          <t>Nordfladdermus</t>
        </is>
      </c>
      <c r="S368">
        <f>HYPERLINK("https://klasma.github.io/Logging_1491/artfynd/A 53041-2020 artfynd.xlsx", "A 53041-2020")</f>
        <v/>
      </c>
      <c r="T368">
        <f>HYPERLINK("https://klasma.github.io/Logging_1491/kartor/A 53041-2020 karta.png", "A 53041-2020")</f>
        <v/>
      </c>
      <c r="V368">
        <f>HYPERLINK("https://klasma.github.io/Logging_1491/klagomål/A 53041-2020 FSC-klagomål.docx", "A 53041-2020")</f>
        <v/>
      </c>
      <c r="W368">
        <f>HYPERLINK("https://klasma.github.io/Logging_1491/klagomålsmail/A 53041-2020 FSC-klagomål mail.docx", "A 53041-2020")</f>
        <v/>
      </c>
      <c r="X368">
        <f>HYPERLINK("https://klasma.github.io/Logging_1491/tillsyn/A 53041-2020 tillsynsbegäran.docx", "A 53041-2020")</f>
        <v/>
      </c>
      <c r="Y368">
        <f>HYPERLINK("https://klasma.github.io/Logging_1491/tillsynsmail/A 53041-2020 tillsynsbegäran mail.docx", "A 53041-2020")</f>
        <v/>
      </c>
    </row>
    <row r="369" ht="15" customHeight="1">
      <c r="A369" t="inlineStr">
        <is>
          <t>A 54232-2020</t>
        </is>
      </c>
      <c r="B369" s="1" t="n">
        <v>44126</v>
      </c>
      <c r="C369" s="1" t="n">
        <v>45227</v>
      </c>
      <c r="D369" t="inlineStr">
        <is>
          <t>VÄSTRA GÖTALANDS LÄN</t>
        </is>
      </c>
      <c r="E369" t="inlineStr">
        <is>
          <t>MARK</t>
        </is>
      </c>
      <c r="G369" t="n">
        <v>6.9</v>
      </c>
      <c r="H369" t="n">
        <v>0</v>
      </c>
      <c r="I369" t="n">
        <v>1</v>
      </c>
      <c r="J369" t="n">
        <v>0</v>
      </c>
      <c r="K369" t="n">
        <v>0</v>
      </c>
      <c r="L369" t="n">
        <v>0</v>
      </c>
      <c r="M369" t="n">
        <v>0</v>
      </c>
      <c r="N369" t="n">
        <v>0</v>
      </c>
      <c r="O369" t="n">
        <v>0</v>
      </c>
      <c r="P369" t="n">
        <v>0</v>
      </c>
      <c r="Q369" t="n">
        <v>1</v>
      </c>
      <c r="R369" s="2" t="inlineStr">
        <is>
          <t>Skogsbräsma</t>
        </is>
      </c>
      <c r="S369">
        <f>HYPERLINK("https://klasma.github.io/Logging_1463/artfynd/A 54232-2020 artfynd.xlsx", "A 54232-2020")</f>
        <v/>
      </c>
      <c r="T369">
        <f>HYPERLINK("https://klasma.github.io/Logging_1463/kartor/A 54232-2020 karta.png", "A 54232-2020")</f>
        <v/>
      </c>
      <c r="V369">
        <f>HYPERLINK("https://klasma.github.io/Logging_1463/klagomål/A 54232-2020 FSC-klagomål.docx", "A 54232-2020")</f>
        <v/>
      </c>
      <c r="W369">
        <f>HYPERLINK("https://klasma.github.io/Logging_1463/klagomålsmail/A 54232-2020 FSC-klagomål mail.docx", "A 54232-2020")</f>
        <v/>
      </c>
      <c r="X369">
        <f>HYPERLINK("https://klasma.github.io/Logging_1463/tillsyn/A 54232-2020 tillsynsbegäran.docx", "A 54232-2020")</f>
        <v/>
      </c>
      <c r="Y369">
        <f>HYPERLINK("https://klasma.github.io/Logging_1463/tillsynsmail/A 54232-2020 tillsynsbegäran mail.docx", "A 54232-2020")</f>
        <v/>
      </c>
    </row>
    <row r="370" ht="15" customHeight="1">
      <c r="A370" t="inlineStr">
        <is>
          <t>A 55551-2020</t>
        </is>
      </c>
      <c r="B370" s="1" t="n">
        <v>44131</v>
      </c>
      <c r="C370" s="1" t="n">
        <v>45227</v>
      </c>
      <c r="D370" t="inlineStr">
        <is>
          <t>VÄSTRA GÖTALANDS LÄN</t>
        </is>
      </c>
      <c r="E370" t="inlineStr">
        <is>
          <t>TANUM</t>
        </is>
      </c>
      <c r="G370" t="n">
        <v>3.4</v>
      </c>
      <c r="H370" t="n">
        <v>1</v>
      </c>
      <c r="I370" t="n">
        <v>0</v>
      </c>
      <c r="J370" t="n">
        <v>0</v>
      </c>
      <c r="K370" t="n">
        <v>1</v>
      </c>
      <c r="L370" t="n">
        <v>0</v>
      </c>
      <c r="M370" t="n">
        <v>0</v>
      </c>
      <c r="N370" t="n">
        <v>0</v>
      </c>
      <c r="O370" t="n">
        <v>1</v>
      </c>
      <c r="P370" t="n">
        <v>1</v>
      </c>
      <c r="Q370" t="n">
        <v>1</v>
      </c>
      <c r="R370" s="2" t="inlineStr">
        <is>
          <t>Knärot</t>
        </is>
      </c>
      <c r="S370">
        <f>HYPERLINK("https://klasma.github.io/Logging_1435/artfynd/A 55551-2020 artfynd.xlsx", "A 55551-2020")</f>
        <v/>
      </c>
      <c r="T370">
        <f>HYPERLINK("https://klasma.github.io/Logging_1435/kartor/A 55551-2020 karta.png", "A 55551-2020")</f>
        <v/>
      </c>
      <c r="U370">
        <f>HYPERLINK("https://klasma.github.io/Logging_1435/knärot/A 55551-2020 karta knärot.png", "A 55551-2020")</f>
        <v/>
      </c>
      <c r="V370">
        <f>HYPERLINK("https://klasma.github.io/Logging_1435/klagomål/A 55551-2020 FSC-klagomål.docx", "A 55551-2020")</f>
        <v/>
      </c>
      <c r="W370">
        <f>HYPERLINK("https://klasma.github.io/Logging_1435/klagomålsmail/A 55551-2020 FSC-klagomål mail.docx", "A 55551-2020")</f>
        <v/>
      </c>
      <c r="X370">
        <f>HYPERLINK("https://klasma.github.io/Logging_1435/tillsyn/A 55551-2020 tillsynsbegäran.docx", "A 55551-2020")</f>
        <v/>
      </c>
      <c r="Y370">
        <f>HYPERLINK("https://klasma.github.io/Logging_1435/tillsynsmail/A 55551-2020 tillsynsbegäran mail.docx", "A 55551-2020")</f>
        <v/>
      </c>
    </row>
    <row r="371" ht="15" customHeight="1">
      <c r="A371" t="inlineStr">
        <is>
          <t>A 56400-2020</t>
        </is>
      </c>
      <c r="B371" s="1" t="n">
        <v>44137</v>
      </c>
      <c r="C371" s="1" t="n">
        <v>45227</v>
      </c>
      <c r="D371" t="inlineStr">
        <is>
          <t>VÄSTRA GÖTALANDS LÄN</t>
        </is>
      </c>
      <c r="E371" t="inlineStr">
        <is>
          <t>MARIESTAD</t>
        </is>
      </c>
      <c r="G371" t="n">
        <v>3.9</v>
      </c>
      <c r="H371" t="n">
        <v>0</v>
      </c>
      <c r="I371" t="n">
        <v>0</v>
      </c>
      <c r="J371" t="n">
        <v>0</v>
      </c>
      <c r="K371" t="n">
        <v>1</v>
      </c>
      <c r="L371" t="n">
        <v>0</v>
      </c>
      <c r="M371" t="n">
        <v>0</v>
      </c>
      <c r="N371" t="n">
        <v>0</v>
      </c>
      <c r="O371" t="n">
        <v>1</v>
      </c>
      <c r="P371" t="n">
        <v>1</v>
      </c>
      <c r="Q371" t="n">
        <v>1</v>
      </c>
      <c r="R371" s="2" t="inlineStr">
        <is>
          <t>Färgginst</t>
        </is>
      </c>
      <c r="S371">
        <f>HYPERLINK("https://klasma.github.io/Logging_1493/artfynd/A 56400-2020 artfynd.xlsx", "A 56400-2020")</f>
        <v/>
      </c>
      <c r="T371">
        <f>HYPERLINK("https://klasma.github.io/Logging_1493/kartor/A 56400-2020 karta.png", "A 56400-2020")</f>
        <v/>
      </c>
      <c r="V371">
        <f>HYPERLINK("https://klasma.github.io/Logging_1493/klagomål/A 56400-2020 FSC-klagomål.docx", "A 56400-2020")</f>
        <v/>
      </c>
      <c r="W371">
        <f>HYPERLINK("https://klasma.github.io/Logging_1493/klagomålsmail/A 56400-2020 FSC-klagomål mail.docx", "A 56400-2020")</f>
        <v/>
      </c>
      <c r="X371">
        <f>HYPERLINK("https://klasma.github.io/Logging_1493/tillsyn/A 56400-2020 tillsynsbegäran.docx", "A 56400-2020")</f>
        <v/>
      </c>
      <c r="Y371">
        <f>HYPERLINK("https://klasma.github.io/Logging_1493/tillsynsmail/A 56400-2020 tillsynsbegäran mail.docx", "A 56400-2020")</f>
        <v/>
      </c>
    </row>
    <row r="372" ht="15" customHeight="1">
      <c r="A372" t="inlineStr">
        <is>
          <t>A 57206-2020</t>
        </is>
      </c>
      <c r="B372" s="1" t="n">
        <v>44139</v>
      </c>
      <c r="C372" s="1" t="n">
        <v>45227</v>
      </c>
      <c r="D372" t="inlineStr">
        <is>
          <t>VÄSTRA GÖTALANDS LÄN</t>
        </is>
      </c>
      <c r="E372" t="inlineStr">
        <is>
          <t>SKARA</t>
        </is>
      </c>
      <c r="G372" t="n">
        <v>36.1</v>
      </c>
      <c r="H372" t="n">
        <v>1</v>
      </c>
      <c r="I372" t="n">
        <v>0</v>
      </c>
      <c r="J372" t="n">
        <v>0</v>
      </c>
      <c r="K372" t="n">
        <v>1</v>
      </c>
      <c r="L372" t="n">
        <v>0</v>
      </c>
      <c r="M372" t="n">
        <v>0</v>
      </c>
      <c r="N372" t="n">
        <v>0</v>
      </c>
      <c r="O372" t="n">
        <v>1</v>
      </c>
      <c r="P372" t="n">
        <v>1</v>
      </c>
      <c r="Q372" t="n">
        <v>1</v>
      </c>
      <c r="R372" s="2" t="inlineStr">
        <is>
          <t>Backsvala</t>
        </is>
      </c>
      <c r="S372">
        <f>HYPERLINK("https://klasma.github.io/Logging_1495/artfynd/A 57206-2020 artfynd.xlsx", "A 57206-2020")</f>
        <v/>
      </c>
      <c r="T372">
        <f>HYPERLINK("https://klasma.github.io/Logging_1495/kartor/A 57206-2020 karta.png", "A 57206-2020")</f>
        <v/>
      </c>
      <c r="V372">
        <f>HYPERLINK("https://klasma.github.io/Logging_1495/klagomål/A 57206-2020 FSC-klagomål.docx", "A 57206-2020")</f>
        <v/>
      </c>
      <c r="W372">
        <f>HYPERLINK("https://klasma.github.io/Logging_1495/klagomålsmail/A 57206-2020 FSC-klagomål mail.docx", "A 57206-2020")</f>
        <v/>
      </c>
      <c r="X372">
        <f>HYPERLINK("https://klasma.github.io/Logging_1495/tillsyn/A 57206-2020 tillsynsbegäran.docx", "A 57206-2020")</f>
        <v/>
      </c>
      <c r="Y372">
        <f>HYPERLINK("https://klasma.github.io/Logging_1495/tillsynsmail/A 57206-2020 tillsynsbegäran mail.docx", "A 57206-2020")</f>
        <v/>
      </c>
    </row>
    <row r="373" ht="15" customHeight="1">
      <c r="A373" t="inlineStr">
        <is>
          <t>A 59982-2020</t>
        </is>
      </c>
      <c r="B373" s="1" t="n">
        <v>44151</v>
      </c>
      <c r="C373" s="1" t="n">
        <v>45227</v>
      </c>
      <c r="D373" t="inlineStr">
        <is>
          <t>VÄSTRA GÖTALANDS LÄN</t>
        </is>
      </c>
      <c r="E373" t="inlineStr">
        <is>
          <t>STRÖMSTAD</t>
        </is>
      </c>
      <c r="F373" t="inlineStr">
        <is>
          <t>Kommuner</t>
        </is>
      </c>
      <c r="G373" t="n">
        <v>3.9</v>
      </c>
      <c r="H373" t="n">
        <v>0</v>
      </c>
      <c r="I373" t="n">
        <v>1</v>
      </c>
      <c r="J373" t="n">
        <v>0</v>
      </c>
      <c r="K373" t="n">
        <v>0</v>
      </c>
      <c r="L373" t="n">
        <v>0</v>
      </c>
      <c r="M373" t="n">
        <v>0</v>
      </c>
      <c r="N373" t="n">
        <v>0</v>
      </c>
      <c r="O373" t="n">
        <v>0</v>
      </c>
      <c r="P373" t="n">
        <v>0</v>
      </c>
      <c r="Q373" t="n">
        <v>1</v>
      </c>
      <c r="R373" s="2" t="inlineStr">
        <is>
          <t>Blåmossa</t>
        </is>
      </c>
      <c r="S373">
        <f>HYPERLINK("https://klasma.github.io/Logging_1486/artfynd/A 59982-2020 artfynd.xlsx", "A 59982-2020")</f>
        <v/>
      </c>
      <c r="T373">
        <f>HYPERLINK("https://klasma.github.io/Logging_1486/kartor/A 59982-2020 karta.png", "A 59982-2020")</f>
        <v/>
      </c>
      <c r="V373">
        <f>HYPERLINK("https://klasma.github.io/Logging_1486/klagomål/A 59982-2020 FSC-klagomål.docx", "A 59982-2020")</f>
        <v/>
      </c>
      <c r="W373">
        <f>HYPERLINK("https://klasma.github.io/Logging_1486/klagomålsmail/A 59982-2020 FSC-klagomål mail.docx", "A 59982-2020")</f>
        <v/>
      </c>
      <c r="X373">
        <f>HYPERLINK("https://klasma.github.io/Logging_1486/tillsyn/A 59982-2020 tillsynsbegäran.docx", "A 59982-2020")</f>
        <v/>
      </c>
      <c r="Y373">
        <f>HYPERLINK("https://klasma.github.io/Logging_1486/tillsynsmail/A 59982-2020 tillsynsbegäran mail.docx", "A 59982-2020")</f>
        <v/>
      </c>
    </row>
    <row r="374" ht="15" customHeight="1">
      <c r="A374" t="inlineStr">
        <is>
          <t>A 60640-2020</t>
        </is>
      </c>
      <c r="B374" s="1" t="n">
        <v>44153</v>
      </c>
      <c r="C374" s="1" t="n">
        <v>45227</v>
      </c>
      <c r="D374" t="inlineStr">
        <is>
          <t>VÄSTRA GÖTALANDS LÄN</t>
        </is>
      </c>
      <c r="E374" t="inlineStr">
        <is>
          <t>TANUM</t>
        </is>
      </c>
      <c r="G374" t="n">
        <v>1.2</v>
      </c>
      <c r="H374" t="n">
        <v>1</v>
      </c>
      <c r="I374" t="n">
        <v>1</v>
      </c>
      <c r="J374" t="n">
        <v>0</v>
      </c>
      <c r="K374" t="n">
        <v>0</v>
      </c>
      <c r="L374" t="n">
        <v>0</v>
      </c>
      <c r="M374" t="n">
        <v>0</v>
      </c>
      <c r="N374" t="n">
        <v>0</v>
      </c>
      <c r="O374" t="n">
        <v>0</v>
      </c>
      <c r="P374" t="n">
        <v>0</v>
      </c>
      <c r="Q374" t="n">
        <v>1</v>
      </c>
      <c r="R374" s="2" t="inlineStr">
        <is>
          <t>Plattlummer</t>
        </is>
      </c>
      <c r="S374">
        <f>HYPERLINK("https://klasma.github.io/Logging_1435/artfynd/A 60640-2020 artfynd.xlsx", "A 60640-2020")</f>
        <v/>
      </c>
      <c r="T374">
        <f>HYPERLINK("https://klasma.github.io/Logging_1435/kartor/A 60640-2020 karta.png", "A 60640-2020")</f>
        <v/>
      </c>
      <c r="V374">
        <f>HYPERLINK("https://klasma.github.io/Logging_1435/klagomål/A 60640-2020 FSC-klagomål.docx", "A 60640-2020")</f>
        <v/>
      </c>
      <c r="W374">
        <f>HYPERLINK("https://klasma.github.io/Logging_1435/klagomålsmail/A 60640-2020 FSC-klagomål mail.docx", "A 60640-2020")</f>
        <v/>
      </c>
      <c r="X374">
        <f>HYPERLINK("https://klasma.github.io/Logging_1435/tillsyn/A 60640-2020 tillsynsbegäran.docx", "A 60640-2020")</f>
        <v/>
      </c>
      <c r="Y374">
        <f>HYPERLINK("https://klasma.github.io/Logging_1435/tillsynsmail/A 60640-2020 tillsynsbegäran mail.docx", "A 60640-2020")</f>
        <v/>
      </c>
    </row>
    <row r="375" ht="15" customHeight="1">
      <c r="A375" t="inlineStr">
        <is>
          <t>A 64046-2020</t>
        </is>
      </c>
      <c r="B375" s="1" t="n">
        <v>44167</v>
      </c>
      <c r="C375" s="1" t="n">
        <v>45227</v>
      </c>
      <c r="D375" t="inlineStr">
        <is>
          <t>VÄSTRA GÖTALANDS LÄN</t>
        </is>
      </c>
      <c r="E375" t="inlineStr">
        <is>
          <t>MARIESTAD</t>
        </is>
      </c>
      <c r="G375" t="n">
        <v>12</v>
      </c>
      <c r="H375" t="n">
        <v>0</v>
      </c>
      <c r="I375" t="n">
        <v>0</v>
      </c>
      <c r="J375" t="n">
        <v>0</v>
      </c>
      <c r="K375" t="n">
        <v>0</v>
      </c>
      <c r="L375" t="n">
        <v>1</v>
      </c>
      <c r="M375" t="n">
        <v>0</v>
      </c>
      <c r="N375" t="n">
        <v>0</v>
      </c>
      <c r="O375" t="n">
        <v>1</v>
      </c>
      <c r="P375" t="n">
        <v>1</v>
      </c>
      <c r="Q375" t="n">
        <v>1</v>
      </c>
      <c r="R375" s="2" t="inlineStr">
        <is>
          <t>Fältgentiana</t>
        </is>
      </c>
      <c r="S375">
        <f>HYPERLINK("https://klasma.github.io/Logging_1493/artfynd/A 64046-2020 artfynd.xlsx", "A 64046-2020")</f>
        <v/>
      </c>
      <c r="T375">
        <f>HYPERLINK("https://klasma.github.io/Logging_1493/kartor/A 64046-2020 karta.png", "A 64046-2020")</f>
        <v/>
      </c>
      <c r="V375">
        <f>HYPERLINK("https://klasma.github.io/Logging_1493/klagomål/A 64046-2020 FSC-klagomål.docx", "A 64046-2020")</f>
        <v/>
      </c>
      <c r="W375">
        <f>HYPERLINK("https://klasma.github.io/Logging_1493/klagomålsmail/A 64046-2020 FSC-klagomål mail.docx", "A 64046-2020")</f>
        <v/>
      </c>
      <c r="X375">
        <f>HYPERLINK("https://klasma.github.io/Logging_1493/tillsyn/A 64046-2020 tillsynsbegäran.docx", "A 64046-2020")</f>
        <v/>
      </c>
      <c r="Y375">
        <f>HYPERLINK("https://klasma.github.io/Logging_1493/tillsynsmail/A 64046-2020 tillsynsbegäran mail.docx", "A 64046-2020")</f>
        <v/>
      </c>
    </row>
    <row r="376" ht="15" customHeight="1">
      <c r="A376" t="inlineStr">
        <is>
          <t>A 64414-2020</t>
        </is>
      </c>
      <c r="B376" s="1" t="n">
        <v>44168</v>
      </c>
      <c r="C376" s="1" t="n">
        <v>45227</v>
      </c>
      <c r="D376" t="inlineStr">
        <is>
          <t>VÄSTRA GÖTALANDS LÄN</t>
        </is>
      </c>
      <c r="E376" t="inlineStr">
        <is>
          <t>BORÅS</t>
        </is>
      </c>
      <c r="F376" t="inlineStr">
        <is>
          <t>Kommuner</t>
        </is>
      </c>
      <c r="G376" t="n">
        <v>1</v>
      </c>
      <c r="H376" t="n">
        <v>1</v>
      </c>
      <c r="I376" t="n">
        <v>0</v>
      </c>
      <c r="J376" t="n">
        <v>0</v>
      </c>
      <c r="K376" t="n">
        <v>0</v>
      </c>
      <c r="L376" t="n">
        <v>0</v>
      </c>
      <c r="M376" t="n">
        <v>0</v>
      </c>
      <c r="N376" t="n">
        <v>0</v>
      </c>
      <c r="O376" t="n">
        <v>0</v>
      </c>
      <c r="P376" t="n">
        <v>0</v>
      </c>
      <c r="Q376" t="n">
        <v>1</v>
      </c>
      <c r="R376" s="2" t="inlineStr">
        <is>
          <t>Fläcknycklar</t>
        </is>
      </c>
      <c r="S376">
        <f>HYPERLINK("https://klasma.github.io/Logging_1490/artfynd/A 64414-2020 artfynd.xlsx", "A 64414-2020")</f>
        <v/>
      </c>
      <c r="T376">
        <f>HYPERLINK("https://klasma.github.io/Logging_1490/kartor/A 64414-2020 karta.png", "A 64414-2020")</f>
        <v/>
      </c>
      <c r="V376">
        <f>HYPERLINK("https://klasma.github.io/Logging_1490/klagomål/A 64414-2020 FSC-klagomål.docx", "A 64414-2020")</f>
        <v/>
      </c>
      <c r="W376">
        <f>HYPERLINK("https://klasma.github.io/Logging_1490/klagomålsmail/A 64414-2020 FSC-klagomål mail.docx", "A 64414-2020")</f>
        <v/>
      </c>
      <c r="X376">
        <f>HYPERLINK("https://klasma.github.io/Logging_1490/tillsyn/A 64414-2020 tillsynsbegäran.docx", "A 64414-2020")</f>
        <v/>
      </c>
      <c r="Y376">
        <f>HYPERLINK("https://klasma.github.io/Logging_1490/tillsynsmail/A 64414-2020 tillsynsbegäran mail.docx", "A 64414-2020")</f>
        <v/>
      </c>
    </row>
    <row r="377" ht="15" customHeight="1">
      <c r="A377" t="inlineStr">
        <is>
          <t>A 64734-2020</t>
        </is>
      </c>
      <c r="B377" s="1" t="n">
        <v>44169</v>
      </c>
      <c r="C377" s="1" t="n">
        <v>45227</v>
      </c>
      <c r="D377" t="inlineStr">
        <is>
          <t>VÄSTRA GÖTALANDS LÄN</t>
        </is>
      </c>
      <c r="E377" t="inlineStr">
        <is>
          <t>HÄRRYDA</t>
        </is>
      </c>
      <c r="G377" t="n">
        <v>4.1</v>
      </c>
      <c r="H377" t="n">
        <v>1</v>
      </c>
      <c r="I377" t="n">
        <v>0</v>
      </c>
      <c r="J377" t="n">
        <v>1</v>
      </c>
      <c r="K377" t="n">
        <v>0</v>
      </c>
      <c r="L377" t="n">
        <v>0</v>
      </c>
      <c r="M377" t="n">
        <v>0</v>
      </c>
      <c r="N377" t="n">
        <v>0</v>
      </c>
      <c r="O377" t="n">
        <v>1</v>
      </c>
      <c r="P377" t="n">
        <v>0</v>
      </c>
      <c r="Q377" t="n">
        <v>1</v>
      </c>
      <c r="R377" s="2" t="inlineStr">
        <is>
          <t>Spillkråka</t>
        </is>
      </c>
      <c r="S377">
        <f>HYPERLINK("https://klasma.github.io/Logging_1401/artfynd/A 64734-2020 artfynd.xlsx", "A 64734-2020")</f>
        <v/>
      </c>
      <c r="T377">
        <f>HYPERLINK("https://klasma.github.io/Logging_1401/kartor/A 64734-2020 karta.png", "A 64734-2020")</f>
        <v/>
      </c>
      <c r="V377">
        <f>HYPERLINK("https://klasma.github.io/Logging_1401/klagomål/A 64734-2020 FSC-klagomål.docx", "A 64734-2020")</f>
        <v/>
      </c>
      <c r="W377">
        <f>HYPERLINK("https://klasma.github.io/Logging_1401/klagomålsmail/A 64734-2020 FSC-klagomål mail.docx", "A 64734-2020")</f>
        <v/>
      </c>
      <c r="X377">
        <f>HYPERLINK("https://klasma.github.io/Logging_1401/tillsyn/A 64734-2020 tillsynsbegäran.docx", "A 64734-2020")</f>
        <v/>
      </c>
      <c r="Y377">
        <f>HYPERLINK("https://klasma.github.io/Logging_1401/tillsynsmail/A 64734-2020 tillsynsbegäran mail.docx", "A 64734-2020")</f>
        <v/>
      </c>
    </row>
    <row r="378" ht="15" customHeight="1">
      <c r="A378" t="inlineStr">
        <is>
          <t>A 65769-2020</t>
        </is>
      </c>
      <c r="B378" s="1" t="n">
        <v>44172</v>
      </c>
      <c r="C378" s="1" t="n">
        <v>45227</v>
      </c>
      <c r="D378" t="inlineStr">
        <is>
          <t>VÄSTRA GÖTALANDS LÄN</t>
        </is>
      </c>
      <c r="E378" t="inlineStr">
        <is>
          <t>MELLERUD</t>
        </is>
      </c>
      <c r="G378" t="n">
        <v>5.1</v>
      </c>
      <c r="H378" t="n">
        <v>1</v>
      </c>
      <c r="I378" t="n">
        <v>0</v>
      </c>
      <c r="J378" t="n">
        <v>0</v>
      </c>
      <c r="K378" t="n">
        <v>0</v>
      </c>
      <c r="L378" t="n">
        <v>0</v>
      </c>
      <c r="M378" t="n">
        <v>0</v>
      </c>
      <c r="N378" t="n">
        <v>0</v>
      </c>
      <c r="O378" t="n">
        <v>0</v>
      </c>
      <c r="P378" t="n">
        <v>0</v>
      </c>
      <c r="Q378" t="n">
        <v>1</v>
      </c>
      <c r="R378" s="2" t="inlineStr">
        <is>
          <t>Sankt pers nycklar</t>
        </is>
      </c>
      <c r="S378">
        <f>HYPERLINK("https://klasma.github.io/Logging_1461/artfynd/A 65769-2020 artfynd.xlsx", "A 65769-2020")</f>
        <v/>
      </c>
      <c r="T378">
        <f>HYPERLINK("https://klasma.github.io/Logging_1461/kartor/A 65769-2020 karta.png", "A 65769-2020")</f>
        <v/>
      </c>
      <c r="V378">
        <f>HYPERLINK("https://klasma.github.io/Logging_1461/klagomål/A 65769-2020 FSC-klagomål.docx", "A 65769-2020")</f>
        <v/>
      </c>
      <c r="W378">
        <f>HYPERLINK("https://klasma.github.io/Logging_1461/klagomålsmail/A 65769-2020 FSC-klagomål mail.docx", "A 65769-2020")</f>
        <v/>
      </c>
      <c r="X378">
        <f>HYPERLINK("https://klasma.github.io/Logging_1461/tillsyn/A 65769-2020 tillsynsbegäran.docx", "A 65769-2020")</f>
        <v/>
      </c>
      <c r="Y378">
        <f>HYPERLINK("https://klasma.github.io/Logging_1461/tillsynsmail/A 65769-2020 tillsynsbegäran mail.docx", "A 65769-2020")</f>
        <v/>
      </c>
    </row>
    <row r="379" ht="15" customHeight="1">
      <c r="A379" t="inlineStr">
        <is>
          <t>A 65581-2020</t>
        </is>
      </c>
      <c r="B379" s="1" t="n">
        <v>44173</v>
      </c>
      <c r="C379" s="1" t="n">
        <v>45227</v>
      </c>
      <c r="D379" t="inlineStr">
        <is>
          <t>VÄSTRA GÖTALANDS LÄN</t>
        </is>
      </c>
      <c r="E379" t="inlineStr">
        <is>
          <t>BOLLEBYGD</t>
        </is>
      </c>
      <c r="F379" t="inlineStr">
        <is>
          <t>Kommuner</t>
        </is>
      </c>
      <c r="G379" t="n">
        <v>1.6</v>
      </c>
      <c r="H379" t="n">
        <v>1</v>
      </c>
      <c r="I379" t="n">
        <v>0</v>
      </c>
      <c r="J379" t="n">
        <v>0</v>
      </c>
      <c r="K379" t="n">
        <v>1</v>
      </c>
      <c r="L379" t="n">
        <v>0</v>
      </c>
      <c r="M379" t="n">
        <v>0</v>
      </c>
      <c r="N379" t="n">
        <v>0</v>
      </c>
      <c r="O379" t="n">
        <v>1</v>
      </c>
      <c r="P379" t="n">
        <v>1</v>
      </c>
      <c r="Q379" t="n">
        <v>1</v>
      </c>
      <c r="R379" s="2" t="inlineStr">
        <is>
          <t>Knärot</t>
        </is>
      </c>
      <c r="S379">
        <f>HYPERLINK("https://klasma.github.io/Logging_1443/artfynd/A 65581-2020 artfynd.xlsx", "A 65581-2020")</f>
        <v/>
      </c>
      <c r="T379">
        <f>HYPERLINK("https://klasma.github.io/Logging_1443/kartor/A 65581-2020 karta.png", "A 65581-2020")</f>
        <v/>
      </c>
      <c r="U379">
        <f>HYPERLINK("https://klasma.github.io/Logging_1443/knärot/A 65581-2020 karta knärot.png", "A 65581-2020")</f>
        <v/>
      </c>
      <c r="V379">
        <f>HYPERLINK("https://klasma.github.io/Logging_1443/klagomål/A 65581-2020 FSC-klagomål.docx", "A 65581-2020")</f>
        <v/>
      </c>
      <c r="W379">
        <f>HYPERLINK("https://klasma.github.io/Logging_1443/klagomålsmail/A 65581-2020 FSC-klagomål mail.docx", "A 65581-2020")</f>
        <v/>
      </c>
      <c r="X379">
        <f>HYPERLINK("https://klasma.github.io/Logging_1443/tillsyn/A 65581-2020 tillsynsbegäran.docx", "A 65581-2020")</f>
        <v/>
      </c>
      <c r="Y379">
        <f>HYPERLINK("https://klasma.github.io/Logging_1443/tillsynsmail/A 65581-2020 tillsynsbegäran mail.docx", "A 65581-2020")</f>
        <v/>
      </c>
    </row>
    <row r="380" ht="15" customHeight="1">
      <c r="A380" t="inlineStr">
        <is>
          <t>A 66393-2020</t>
        </is>
      </c>
      <c r="B380" s="1" t="n">
        <v>44176</v>
      </c>
      <c r="C380" s="1" t="n">
        <v>45227</v>
      </c>
      <c r="D380" t="inlineStr">
        <is>
          <t>VÄSTRA GÖTALANDS LÄN</t>
        </is>
      </c>
      <c r="E380" t="inlineStr">
        <is>
          <t>STRÖMSTAD</t>
        </is>
      </c>
      <c r="G380" t="n">
        <v>2</v>
      </c>
      <c r="H380" t="n">
        <v>0</v>
      </c>
      <c r="I380" t="n">
        <v>1</v>
      </c>
      <c r="J380" t="n">
        <v>0</v>
      </c>
      <c r="K380" t="n">
        <v>0</v>
      </c>
      <c r="L380" t="n">
        <v>0</v>
      </c>
      <c r="M380" t="n">
        <v>0</v>
      </c>
      <c r="N380" t="n">
        <v>0</v>
      </c>
      <c r="O380" t="n">
        <v>0</v>
      </c>
      <c r="P380" t="n">
        <v>0</v>
      </c>
      <c r="Q380" t="n">
        <v>1</v>
      </c>
      <c r="R380" s="2" t="inlineStr">
        <is>
          <t>Svart trolldruva</t>
        </is>
      </c>
      <c r="S380">
        <f>HYPERLINK("https://klasma.github.io/Logging_1486/artfynd/A 66393-2020 artfynd.xlsx", "A 66393-2020")</f>
        <v/>
      </c>
      <c r="T380">
        <f>HYPERLINK("https://klasma.github.io/Logging_1486/kartor/A 66393-2020 karta.png", "A 66393-2020")</f>
        <v/>
      </c>
      <c r="V380">
        <f>HYPERLINK("https://klasma.github.io/Logging_1486/klagomål/A 66393-2020 FSC-klagomål.docx", "A 66393-2020")</f>
        <v/>
      </c>
      <c r="W380">
        <f>HYPERLINK("https://klasma.github.io/Logging_1486/klagomålsmail/A 66393-2020 FSC-klagomål mail.docx", "A 66393-2020")</f>
        <v/>
      </c>
      <c r="X380">
        <f>HYPERLINK("https://klasma.github.io/Logging_1486/tillsyn/A 66393-2020 tillsynsbegäran.docx", "A 66393-2020")</f>
        <v/>
      </c>
      <c r="Y380">
        <f>HYPERLINK("https://klasma.github.io/Logging_1486/tillsynsmail/A 66393-2020 tillsynsbegäran mail.docx", "A 66393-2020")</f>
        <v/>
      </c>
    </row>
    <row r="381" ht="15" customHeight="1">
      <c r="A381" t="inlineStr">
        <is>
          <t>A 67174-2020</t>
        </is>
      </c>
      <c r="B381" s="1" t="n">
        <v>44180</v>
      </c>
      <c r="C381" s="1" t="n">
        <v>45227</v>
      </c>
      <c r="D381" t="inlineStr">
        <is>
          <t>VÄSTRA GÖTALANDS LÄN</t>
        </is>
      </c>
      <c r="E381" t="inlineStr">
        <is>
          <t>DALS-ED</t>
        </is>
      </c>
      <c r="G381" t="n">
        <v>7.7</v>
      </c>
      <c r="H381" t="n">
        <v>0</v>
      </c>
      <c r="I381" t="n">
        <v>0</v>
      </c>
      <c r="J381" t="n">
        <v>1</v>
      </c>
      <c r="K381" t="n">
        <v>0</v>
      </c>
      <c r="L381" t="n">
        <v>0</v>
      </c>
      <c r="M381" t="n">
        <v>0</v>
      </c>
      <c r="N381" t="n">
        <v>0</v>
      </c>
      <c r="O381" t="n">
        <v>1</v>
      </c>
      <c r="P381" t="n">
        <v>0</v>
      </c>
      <c r="Q381" t="n">
        <v>1</v>
      </c>
      <c r="R381" s="2" t="inlineStr">
        <is>
          <t>Skrovellav</t>
        </is>
      </c>
      <c r="S381">
        <f>HYPERLINK("https://klasma.github.io/Logging_1438/artfynd/A 67174-2020 artfynd.xlsx", "A 67174-2020")</f>
        <v/>
      </c>
      <c r="T381">
        <f>HYPERLINK("https://klasma.github.io/Logging_1438/kartor/A 67174-2020 karta.png", "A 67174-2020")</f>
        <v/>
      </c>
      <c r="V381">
        <f>HYPERLINK("https://klasma.github.io/Logging_1438/klagomål/A 67174-2020 FSC-klagomål.docx", "A 67174-2020")</f>
        <v/>
      </c>
      <c r="W381">
        <f>HYPERLINK("https://klasma.github.io/Logging_1438/klagomålsmail/A 67174-2020 FSC-klagomål mail.docx", "A 67174-2020")</f>
        <v/>
      </c>
      <c r="X381">
        <f>HYPERLINK("https://klasma.github.io/Logging_1438/tillsyn/A 67174-2020 tillsynsbegäran.docx", "A 67174-2020")</f>
        <v/>
      </c>
      <c r="Y381">
        <f>HYPERLINK("https://klasma.github.io/Logging_1438/tillsynsmail/A 67174-2020 tillsynsbegäran mail.docx", "A 67174-2020")</f>
        <v/>
      </c>
    </row>
    <row r="382" ht="15" customHeight="1">
      <c r="A382" t="inlineStr">
        <is>
          <t>A 901-2021</t>
        </is>
      </c>
      <c r="B382" s="1" t="n">
        <v>44206</v>
      </c>
      <c r="C382" s="1" t="n">
        <v>45227</v>
      </c>
      <c r="D382" t="inlineStr">
        <is>
          <t>VÄSTRA GÖTALANDS LÄN</t>
        </is>
      </c>
      <c r="E382" t="inlineStr">
        <is>
          <t>ÅMÅL</t>
        </is>
      </c>
      <c r="G382" t="n">
        <v>8.199999999999999</v>
      </c>
      <c r="H382" t="n">
        <v>1</v>
      </c>
      <c r="I382" t="n">
        <v>0</v>
      </c>
      <c r="J382" t="n">
        <v>0</v>
      </c>
      <c r="K382" t="n">
        <v>0</v>
      </c>
      <c r="L382" t="n">
        <v>0</v>
      </c>
      <c r="M382" t="n">
        <v>0</v>
      </c>
      <c r="N382" t="n">
        <v>0</v>
      </c>
      <c r="O382" t="n">
        <v>0</v>
      </c>
      <c r="P382" t="n">
        <v>0</v>
      </c>
      <c r="Q382" t="n">
        <v>1</v>
      </c>
      <c r="R382" s="2" t="inlineStr">
        <is>
          <t>Blåsippa</t>
        </is>
      </c>
      <c r="S382">
        <f>HYPERLINK("https://klasma.github.io/Logging_1492/artfynd/A 901-2021 artfynd.xlsx", "A 901-2021")</f>
        <v/>
      </c>
      <c r="T382">
        <f>HYPERLINK("https://klasma.github.io/Logging_1492/kartor/A 901-2021 karta.png", "A 901-2021")</f>
        <v/>
      </c>
      <c r="V382">
        <f>HYPERLINK("https://klasma.github.io/Logging_1492/klagomål/A 901-2021 FSC-klagomål.docx", "A 901-2021")</f>
        <v/>
      </c>
      <c r="W382">
        <f>HYPERLINK("https://klasma.github.io/Logging_1492/klagomålsmail/A 901-2021 FSC-klagomål mail.docx", "A 901-2021")</f>
        <v/>
      </c>
      <c r="X382">
        <f>HYPERLINK("https://klasma.github.io/Logging_1492/tillsyn/A 901-2021 tillsynsbegäran.docx", "A 901-2021")</f>
        <v/>
      </c>
      <c r="Y382">
        <f>HYPERLINK("https://klasma.github.io/Logging_1492/tillsynsmail/A 901-2021 tillsynsbegäran mail.docx", "A 901-2021")</f>
        <v/>
      </c>
    </row>
    <row r="383" ht="15" customHeight="1">
      <c r="A383" t="inlineStr">
        <is>
          <t>A 1255-2021</t>
        </is>
      </c>
      <c r="B383" s="1" t="n">
        <v>44207</v>
      </c>
      <c r="C383" s="1" t="n">
        <v>45227</v>
      </c>
      <c r="D383" t="inlineStr">
        <is>
          <t>VÄSTRA GÖTALANDS LÄN</t>
        </is>
      </c>
      <c r="E383" t="inlineStr">
        <is>
          <t>TANUM</t>
        </is>
      </c>
      <c r="F383" t="inlineStr">
        <is>
          <t>Kyrkan</t>
        </is>
      </c>
      <c r="G383" t="n">
        <v>20.8</v>
      </c>
      <c r="H383" t="n">
        <v>1</v>
      </c>
      <c r="I383" t="n">
        <v>0</v>
      </c>
      <c r="J383" t="n">
        <v>1</v>
      </c>
      <c r="K383" t="n">
        <v>0</v>
      </c>
      <c r="L383" t="n">
        <v>0</v>
      </c>
      <c r="M383" t="n">
        <v>0</v>
      </c>
      <c r="N383" t="n">
        <v>0</v>
      </c>
      <c r="O383" t="n">
        <v>1</v>
      </c>
      <c r="P383" t="n">
        <v>0</v>
      </c>
      <c r="Q383" t="n">
        <v>1</v>
      </c>
      <c r="R383" s="2" t="inlineStr">
        <is>
          <t>Spillkråka</t>
        </is>
      </c>
      <c r="S383">
        <f>HYPERLINK("https://klasma.github.io/Logging_1435/artfynd/A 1255-2021 artfynd.xlsx", "A 1255-2021")</f>
        <v/>
      </c>
      <c r="T383">
        <f>HYPERLINK("https://klasma.github.io/Logging_1435/kartor/A 1255-2021 karta.png", "A 1255-2021")</f>
        <v/>
      </c>
      <c r="V383">
        <f>HYPERLINK("https://klasma.github.io/Logging_1435/klagomål/A 1255-2021 FSC-klagomål.docx", "A 1255-2021")</f>
        <v/>
      </c>
      <c r="W383">
        <f>HYPERLINK("https://klasma.github.io/Logging_1435/klagomålsmail/A 1255-2021 FSC-klagomål mail.docx", "A 1255-2021")</f>
        <v/>
      </c>
      <c r="X383">
        <f>HYPERLINK("https://klasma.github.io/Logging_1435/tillsyn/A 1255-2021 tillsynsbegäran.docx", "A 1255-2021")</f>
        <v/>
      </c>
      <c r="Y383">
        <f>HYPERLINK("https://klasma.github.io/Logging_1435/tillsynsmail/A 1255-2021 tillsynsbegäran mail.docx", "A 1255-2021")</f>
        <v/>
      </c>
    </row>
    <row r="384" ht="15" customHeight="1">
      <c r="A384" t="inlineStr">
        <is>
          <t>A 2381-2021</t>
        </is>
      </c>
      <c r="B384" s="1" t="n">
        <v>44211</v>
      </c>
      <c r="C384" s="1" t="n">
        <v>45227</v>
      </c>
      <c r="D384" t="inlineStr">
        <is>
          <t>VÄSTRA GÖTALANDS LÄN</t>
        </is>
      </c>
      <c r="E384" t="inlineStr">
        <is>
          <t>LILLA EDET</t>
        </is>
      </c>
      <c r="F384" t="inlineStr">
        <is>
          <t>Kommuner</t>
        </is>
      </c>
      <c r="G384" t="n">
        <v>4.1</v>
      </c>
      <c r="H384" t="n">
        <v>0</v>
      </c>
      <c r="I384" t="n">
        <v>0</v>
      </c>
      <c r="J384" t="n">
        <v>1</v>
      </c>
      <c r="K384" t="n">
        <v>0</v>
      </c>
      <c r="L384" t="n">
        <v>0</v>
      </c>
      <c r="M384" t="n">
        <v>0</v>
      </c>
      <c r="N384" t="n">
        <v>0</v>
      </c>
      <c r="O384" t="n">
        <v>1</v>
      </c>
      <c r="P384" t="n">
        <v>0</v>
      </c>
      <c r="Q384" t="n">
        <v>1</v>
      </c>
      <c r="R384" s="2" t="inlineStr">
        <is>
          <t>Bergjohannesört</t>
        </is>
      </c>
      <c r="S384">
        <f>HYPERLINK("https://klasma.github.io/Logging_1462/artfynd/A 2381-2021 artfynd.xlsx", "A 2381-2021")</f>
        <v/>
      </c>
      <c r="T384">
        <f>HYPERLINK("https://klasma.github.io/Logging_1462/kartor/A 2381-2021 karta.png", "A 2381-2021")</f>
        <v/>
      </c>
      <c r="V384">
        <f>HYPERLINK("https://klasma.github.io/Logging_1462/klagomål/A 2381-2021 FSC-klagomål.docx", "A 2381-2021")</f>
        <v/>
      </c>
      <c r="W384">
        <f>HYPERLINK("https://klasma.github.io/Logging_1462/klagomålsmail/A 2381-2021 FSC-klagomål mail.docx", "A 2381-2021")</f>
        <v/>
      </c>
      <c r="X384">
        <f>HYPERLINK("https://klasma.github.io/Logging_1462/tillsyn/A 2381-2021 tillsynsbegäran.docx", "A 2381-2021")</f>
        <v/>
      </c>
      <c r="Y384">
        <f>HYPERLINK("https://klasma.github.io/Logging_1462/tillsynsmail/A 2381-2021 tillsynsbegäran mail.docx", "A 2381-2021")</f>
        <v/>
      </c>
    </row>
    <row r="385" ht="15" customHeight="1">
      <c r="A385" t="inlineStr">
        <is>
          <t>A 2741-2021</t>
        </is>
      </c>
      <c r="B385" s="1" t="n">
        <v>44215</v>
      </c>
      <c r="C385" s="1" t="n">
        <v>45227</v>
      </c>
      <c r="D385" t="inlineStr">
        <is>
          <t>VÄSTRA GÖTALANDS LÄN</t>
        </is>
      </c>
      <c r="E385" t="inlineStr">
        <is>
          <t>HJO</t>
        </is>
      </c>
      <c r="G385" t="n">
        <v>10.2</v>
      </c>
      <c r="H385" t="n">
        <v>0</v>
      </c>
      <c r="I385" t="n">
        <v>1</v>
      </c>
      <c r="J385" t="n">
        <v>0</v>
      </c>
      <c r="K385" t="n">
        <v>0</v>
      </c>
      <c r="L385" t="n">
        <v>0</v>
      </c>
      <c r="M385" t="n">
        <v>0</v>
      </c>
      <c r="N385" t="n">
        <v>0</v>
      </c>
      <c r="O385" t="n">
        <v>0</v>
      </c>
      <c r="P385" t="n">
        <v>0</v>
      </c>
      <c r="Q385" t="n">
        <v>1</v>
      </c>
      <c r="R385" s="2" t="inlineStr">
        <is>
          <t>Springkorn</t>
        </is>
      </c>
      <c r="S385">
        <f>HYPERLINK("https://klasma.github.io/Logging_1497/artfynd/A 2741-2021 artfynd.xlsx", "A 2741-2021")</f>
        <v/>
      </c>
      <c r="T385">
        <f>HYPERLINK("https://klasma.github.io/Logging_1497/kartor/A 2741-2021 karta.png", "A 2741-2021")</f>
        <v/>
      </c>
      <c r="V385">
        <f>HYPERLINK("https://klasma.github.io/Logging_1497/klagomål/A 2741-2021 FSC-klagomål.docx", "A 2741-2021")</f>
        <v/>
      </c>
      <c r="W385">
        <f>HYPERLINK("https://klasma.github.io/Logging_1497/klagomålsmail/A 2741-2021 FSC-klagomål mail.docx", "A 2741-2021")</f>
        <v/>
      </c>
      <c r="X385">
        <f>HYPERLINK("https://klasma.github.io/Logging_1497/tillsyn/A 2741-2021 tillsynsbegäran.docx", "A 2741-2021")</f>
        <v/>
      </c>
      <c r="Y385">
        <f>HYPERLINK("https://klasma.github.io/Logging_1497/tillsynsmail/A 2741-2021 tillsynsbegäran mail.docx", "A 2741-2021")</f>
        <v/>
      </c>
    </row>
    <row r="386" ht="15" customHeight="1">
      <c r="A386" t="inlineStr">
        <is>
          <t>A 3899-2021</t>
        </is>
      </c>
      <c r="B386" s="1" t="n">
        <v>44217</v>
      </c>
      <c r="C386" s="1" t="n">
        <v>45227</v>
      </c>
      <c r="D386" t="inlineStr">
        <is>
          <t>VÄSTRA GÖTALANDS LÄN</t>
        </is>
      </c>
      <c r="E386" t="inlineStr">
        <is>
          <t>MUNKEDAL</t>
        </is>
      </c>
      <c r="G386" t="n">
        <v>34.1</v>
      </c>
      <c r="H386" t="n">
        <v>1</v>
      </c>
      <c r="I386" t="n">
        <v>0</v>
      </c>
      <c r="J386" t="n">
        <v>0</v>
      </c>
      <c r="K386" t="n">
        <v>0</v>
      </c>
      <c r="L386" t="n">
        <v>0</v>
      </c>
      <c r="M386" t="n">
        <v>0</v>
      </c>
      <c r="N386" t="n">
        <v>0</v>
      </c>
      <c r="O386" t="n">
        <v>0</v>
      </c>
      <c r="P386" t="n">
        <v>0</v>
      </c>
      <c r="Q386" t="n">
        <v>1</v>
      </c>
      <c r="R386" s="2" t="inlineStr">
        <is>
          <t>Vanlig groda</t>
        </is>
      </c>
      <c r="S386">
        <f>HYPERLINK("https://klasma.github.io/Logging_1430/artfynd/A 3899-2021 artfynd.xlsx", "A 3899-2021")</f>
        <v/>
      </c>
      <c r="T386">
        <f>HYPERLINK("https://klasma.github.io/Logging_1430/kartor/A 3899-2021 karta.png", "A 3899-2021")</f>
        <v/>
      </c>
      <c r="V386">
        <f>HYPERLINK("https://klasma.github.io/Logging_1430/klagomål/A 3899-2021 FSC-klagomål.docx", "A 3899-2021")</f>
        <v/>
      </c>
      <c r="W386">
        <f>HYPERLINK("https://klasma.github.io/Logging_1430/klagomålsmail/A 3899-2021 FSC-klagomål mail.docx", "A 3899-2021")</f>
        <v/>
      </c>
      <c r="X386">
        <f>HYPERLINK("https://klasma.github.io/Logging_1430/tillsyn/A 3899-2021 tillsynsbegäran.docx", "A 3899-2021")</f>
        <v/>
      </c>
      <c r="Y386">
        <f>HYPERLINK("https://klasma.github.io/Logging_1430/tillsynsmail/A 3899-2021 tillsynsbegäran mail.docx", "A 3899-2021")</f>
        <v/>
      </c>
    </row>
    <row r="387" ht="15" customHeight="1">
      <c r="A387" t="inlineStr">
        <is>
          <t>A 3798-2021</t>
        </is>
      </c>
      <c r="B387" s="1" t="n">
        <v>44221</v>
      </c>
      <c r="C387" s="1" t="n">
        <v>45227</v>
      </c>
      <c r="D387" t="inlineStr">
        <is>
          <t>VÄSTRA GÖTALANDS LÄN</t>
        </is>
      </c>
      <c r="E387" t="inlineStr">
        <is>
          <t>VÄNERSBORG</t>
        </is>
      </c>
      <c r="G387" t="n">
        <v>1.2</v>
      </c>
      <c r="H387" t="n">
        <v>1</v>
      </c>
      <c r="I387" t="n">
        <v>0</v>
      </c>
      <c r="J387" t="n">
        <v>1</v>
      </c>
      <c r="K387" t="n">
        <v>0</v>
      </c>
      <c r="L387" t="n">
        <v>0</v>
      </c>
      <c r="M387" t="n">
        <v>0</v>
      </c>
      <c r="N387" t="n">
        <v>0</v>
      </c>
      <c r="O387" t="n">
        <v>1</v>
      </c>
      <c r="P387" t="n">
        <v>0</v>
      </c>
      <c r="Q387" t="n">
        <v>1</v>
      </c>
      <c r="R387" s="2" t="inlineStr">
        <is>
          <t>Spillkråka</t>
        </is>
      </c>
      <c r="S387">
        <f>HYPERLINK("https://klasma.github.io/Logging_1487/artfynd/A 3798-2021 artfynd.xlsx", "A 3798-2021")</f>
        <v/>
      </c>
      <c r="T387">
        <f>HYPERLINK("https://klasma.github.io/Logging_1487/kartor/A 3798-2021 karta.png", "A 3798-2021")</f>
        <v/>
      </c>
      <c r="V387">
        <f>HYPERLINK("https://klasma.github.io/Logging_1487/klagomål/A 3798-2021 FSC-klagomål.docx", "A 3798-2021")</f>
        <v/>
      </c>
      <c r="W387">
        <f>HYPERLINK("https://klasma.github.io/Logging_1487/klagomålsmail/A 3798-2021 FSC-klagomål mail.docx", "A 3798-2021")</f>
        <v/>
      </c>
      <c r="X387">
        <f>HYPERLINK("https://klasma.github.io/Logging_1487/tillsyn/A 3798-2021 tillsynsbegäran.docx", "A 3798-2021")</f>
        <v/>
      </c>
      <c r="Y387">
        <f>HYPERLINK("https://klasma.github.io/Logging_1487/tillsynsmail/A 3798-2021 tillsynsbegäran mail.docx", "A 3798-2021")</f>
        <v/>
      </c>
    </row>
    <row r="388" ht="15" customHeight="1">
      <c r="A388" t="inlineStr">
        <is>
          <t>A 6484-2021</t>
        </is>
      </c>
      <c r="B388" s="1" t="n">
        <v>44235</v>
      </c>
      <c r="C388" s="1" t="n">
        <v>45227</v>
      </c>
      <c r="D388" t="inlineStr">
        <is>
          <t>VÄSTRA GÖTALANDS LÄN</t>
        </is>
      </c>
      <c r="E388" t="inlineStr">
        <is>
          <t>SKÖVDE</t>
        </is>
      </c>
      <c r="G388" t="n">
        <v>2.9</v>
      </c>
      <c r="H388" t="n">
        <v>0</v>
      </c>
      <c r="I388" t="n">
        <v>1</v>
      </c>
      <c r="J388" t="n">
        <v>0</v>
      </c>
      <c r="K388" t="n">
        <v>0</v>
      </c>
      <c r="L388" t="n">
        <v>0</v>
      </c>
      <c r="M388" t="n">
        <v>0</v>
      </c>
      <c r="N388" t="n">
        <v>0</v>
      </c>
      <c r="O388" t="n">
        <v>0</v>
      </c>
      <c r="P388" t="n">
        <v>0</v>
      </c>
      <c r="Q388" t="n">
        <v>1</v>
      </c>
      <c r="R388" s="2" t="inlineStr">
        <is>
          <t>Tibast</t>
        </is>
      </c>
      <c r="S388">
        <f>HYPERLINK("https://klasma.github.io/Logging_1496/artfynd/A 6484-2021 artfynd.xlsx", "A 6484-2021")</f>
        <v/>
      </c>
      <c r="T388">
        <f>HYPERLINK("https://klasma.github.io/Logging_1496/kartor/A 6484-2021 karta.png", "A 6484-2021")</f>
        <v/>
      </c>
      <c r="V388">
        <f>HYPERLINK("https://klasma.github.io/Logging_1496/klagomål/A 6484-2021 FSC-klagomål.docx", "A 6484-2021")</f>
        <v/>
      </c>
      <c r="W388">
        <f>HYPERLINK("https://klasma.github.io/Logging_1496/klagomålsmail/A 6484-2021 FSC-klagomål mail.docx", "A 6484-2021")</f>
        <v/>
      </c>
      <c r="X388">
        <f>HYPERLINK("https://klasma.github.io/Logging_1496/tillsyn/A 6484-2021 tillsynsbegäran.docx", "A 6484-2021")</f>
        <v/>
      </c>
      <c r="Y388">
        <f>HYPERLINK("https://klasma.github.io/Logging_1496/tillsynsmail/A 6484-2021 tillsynsbegäran mail.docx", "A 6484-2021")</f>
        <v/>
      </c>
    </row>
    <row r="389" ht="15" customHeight="1">
      <c r="A389" t="inlineStr">
        <is>
          <t>A 7814-2021</t>
        </is>
      </c>
      <c r="B389" s="1" t="n">
        <v>44242</v>
      </c>
      <c r="C389" s="1" t="n">
        <v>45227</v>
      </c>
      <c r="D389" t="inlineStr">
        <is>
          <t>VÄSTRA GÖTALANDS LÄN</t>
        </is>
      </c>
      <c r="E389" t="inlineStr">
        <is>
          <t>HÄRRYDA</t>
        </is>
      </c>
      <c r="G389" t="n">
        <v>1.1</v>
      </c>
      <c r="H389" t="n">
        <v>0</v>
      </c>
      <c r="I389" t="n">
        <v>1</v>
      </c>
      <c r="J389" t="n">
        <v>0</v>
      </c>
      <c r="K389" t="n">
        <v>0</v>
      </c>
      <c r="L389" t="n">
        <v>0</v>
      </c>
      <c r="M389" t="n">
        <v>0</v>
      </c>
      <c r="N389" t="n">
        <v>0</v>
      </c>
      <c r="O389" t="n">
        <v>0</v>
      </c>
      <c r="P389" t="n">
        <v>0</v>
      </c>
      <c r="Q389" t="n">
        <v>1</v>
      </c>
      <c r="R389" s="2" t="inlineStr">
        <is>
          <t>Kattfotslav</t>
        </is>
      </c>
      <c r="S389">
        <f>HYPERLINK("https://klasma.github.io/Logging_1401/artfynd/A 7814-2021 artfynd.xlsx", "A 7814-2021")</f>
        <v/>
      </c>
      <c r="T389">
        <f>HYPERLINK("https://klasma.github.io/Logging_1401/kartor/A 7814-2021 karta.png", "A 7814-2021")</f>
        <v/>
      </c>
      <c r="V389">
        <f>HYPERLINK("https://klasma.github.io/Logging_1401/klagomål/A 7814-2021 FSC-klagomål.docx", "A 7814-2021")</f>
        <v/>
      </c>
      <c r="W389">
        <f>HYPERLINK("https://klasma.github.io/Logging_1401/klagomålsmail/A 7814-2021 FSC-klagomål mail.docx", "A 7814-2021")</f>
        <v/>
      </c>
      <c r="X389">
        <f>HYPERLINK("https://klasma.github.io/Logging_1401/tillsyn/A 7814-2021 tillsynsbegäran.docx", "A 7814-2021")</f>
        <v/>
      </c>
      <c r="Y389">
        <f>HYPERLINK("https://klasma.github.io/Logging_1401/tillsynsmail/A 7814-2021 tillsynsbegäran mail.docx", "A 7814-2021")</f>
        <v/>
      </c>
    </row>
    <row r="390" ht="15" customHeight="1">
      <c r="A390" t="inlineStr">
        <is>
          <t>A 7778-2021</t>
        </is>
      </c>
      <c r="B390" s="1" t="n">
        <v>44242</v>
      </c>
      <c r="C390" s="1" t="n">
        <v>45227</v>
      </c>
      <c r="D390" t="inlineStr">
        <is>
          <t>VÄSTRA GÖTALANDS LÄN</t>
        </is>
      </c>
      <c r="E390" t="inlineStr">
        <is>
          <t>STRÖMSTAD</t>
        </is>
      </c>
      <c r="G390" t="n">
        <v>7.5</v>
      </c>
      <c r="H390" t="n">
        <v>0</v>
      </c>
      <c r="I390" t="n">
        <v>1</v>
      </c>
      <c r="J390" t="n">
        <v>0</v>
      </c>
      <c r="K390" t="n">
        <v>0</v>
      </c>
      <c r="L390" t="n">
        <v>0</v>
      </c>
      <c r="M390" t="n">
        <v>0</v>
      </c>
      <c r="N390" t="n">
        <v>0</v>
      </c>
      <c r="O390" t="n">
        <v>0</v>
      </c>
      <c r="P390" t="n">
        <v>0</v>
      </c>
      <c r="Q390" t="n">
        <v>1</v>
      </c>
      <c r="R390" s="2" t="inlineStr">
        <is>
          <t>Strutbräken</t>
        </is>
      </c>
      <c r="S390">
        <f>HYPERLINK("https://klasma.github.io/Logging_1486/artfynd/A 7778-2021 artfynd.xlsx", "A 7778-2021")</f>
        <v/>
      </c>
      <c r="T390">
        <f>HYPERLINK("https://klasma.github.io/Logging_1486/kartor/A 7778-2021 karta.png", "A 7778-2021")</f>
        <v/>
      </c>
      <c r="V390">
        <f>HYPERLINK("https://klasma.github.io/Logging_1486/klagomål/A 7778-2021 FSC-klagomål.docx", "A 7778-2021")</f>
        <v/>
      </c>
      <c r="W390">
        <f>HYPERLINK("https://klasma.github.io/Logging_1486/klagomålsmail/A 7778-2021 FSC-klagomål mail.docx", "A 7778-2021")</f>
        <v/>
      </c>
      <c r="X390">
        <f>HYPERLINK("https://klasma.github.io/Logging_1486/tillsyn/A 7778-2021 tillsynsbegäran.docx", "A 7778-2021")</f>
        <v/>
      </c>
      <c r="Y390">
        <f>HYPERLINK("https://klasma.github.io/Logging_1486/tillsynsmail/A 7778-2021 tillsynsbegäran mail.docx", "A 7778-2021")</f>
        <v/>
      </c>
    </row>
    <row r="391" ht="15" customHeight="1">
      <c r="A391" t="inlineStr">
        <is>
          <t>A 8209-2021</t>
        </is>
      </c>
      <c r="B391" s="1" t="n">
        <v>44244</v>
      </c>
      <c r="C391" s="1" t="n">
        <v>45227</v>
      </c>
      <c r="D391" t="inlineStr">
        <is>
          <t>VÄSTRA GÖTALANDS LÄN</t>
        </is>
      </c>
      <c r="E391" t="inlineStr">
        <is>
          <t>ALINGSÅS</t>
        </is>
      </c>
      <c r="G391" t="n">
        <v>3.1</v>
      </c>
      <c r="H391" t="n">
        <v>1</v>
      </c>
      <c r="I391" t="n">
        <v>0</v>
      </c>
      <c r="J391" t="n">
        <v>1</v>
      </c>
      <c r="K391" t="n">
        <v>0</v>
      </c>
      <c r="L391" t="n">
        <v>0</v>
      </c>
      <c r="M391" t="n">
        <v>0</v>
      </c>
      <c r="N391" t="n">
        <v>0</v>
      </c>
      <c r="O391" t="n">
        <v>1</v>
      </c>
      <c r="P391" t="n">
        <v>0</v>
      </c>
      <c r="Q391" t="n">
        <v>1</v>
      </c>
      <c r="R391" s="2" t="inlineStr">
        <is>
          <t>Björktrast</t>
        </is>
      </c>
      <c r="S391">
        <f>HYPERLINK("https://klasma.github.io/Logging_1489/artfynd/A 8209-2021 artfynd.xlsx", "A 8209-2021")</f>
        <v/>
      </c>
      <c r="T391">
        <f>HYPERLINK("https://klasma.github.io/Logging_1489/kartor/A 8209-2021 karta.png", "A 8209-2021")</f>
        <v/>
      </c>
      <c r="V391">
        <f>HYPERLINK("https://klasma.github.io/Logging_1489/klagomål/A 8209-2021 FSC-klagomål.docx", "A 8209-2021")</f>
        <v/>
      </c>
      <c r="W391">
        <f>HYPERLINK("https://klasma.github.io/Logging_1489/klagomålsmail/A 8209-2021 FSC-klagomål mail.docx", "A 8209-2021")</f>
        <v/>
      </c>
      <c r="X391">
        <f>HYPERLINK("https://klasma.github.io/Logging_1489/tillsyn/A 8209-2021 tillsynsbegäran.docx", "A 8209-2021")</f>
        <v/>
      </c>
      <c r="Y391">
        <f>HYPERLINK("https://klasma.github.io/Logging_1489/tillsynsmail/A 8209-2021 tillsynsbegäran mail.docx", "A 8209-2021")</f>
        <v/>
      </c>
    </row>
    <row r="392" ht="15" customHeight="1">
      <c r="A392" t="inlineStr">
        <is>
          <t>A 9043-2021</t>
        </is>
      </c>
      <c r="B392" s="1" t="n">
        <v>44249</v>
      </c>
      <c r="C392" s="1" t="n">
        <v>45227</v>
      </c>
      <c r="D392" t="inlineStr">
        <is>
          <t>VÄSTRA GÖTALANDS LÄN</t>
        </is>
      </c>
      <c r="E392" t="inlineStr">
        <is>
          <t>BENGTSFORS</t>
        </is>
      </c>
      <c r="G392" t="n">
        <v>4.2</v>
      </c>
      <c r="H392" t="n">
        <v>0</v>
      </c>
      <c r="I392" t="n">
        <v>0</v>
      </c>
      <c r="J392" t="n">
        <v>1</v>
      </c>
      <c r="K392" t="n">
        <v>0</v>
      </c>
      <c r="L392" t="n">
        <v>0</v>
      </c>
      <c r="M392" t="n">
        <v>0</v>
      </c>
      <c r="N392" t="n">
        <v>0</v>
      </c>
      <c r="O392" t="n">
        <v>1</v>
      </c>
      <c r="P392" t="n">
        <v>0</v>
      </c>
      <c r="Q392" t="n">
        <v>1</v>
      </c>
      <c r="R392" s="2" t="inlineStr">
        <is>
          <t>Violettkantad guldvinge</t>
        </is>
      </c>
      <c r="S392">
        <f>HYPERLINK("https://klasma.github.io/Logging_1460/artfynd/A 9043-2021 artfynd.xlsx", "A 9043-2021")</f>
        <v/>
      </c>
      <c r="T392">
        <f>HYPERLINK("https://klasma.github.io/Logging_1460/kartor/A 9043-2021 karta.png", "A 9043-2021")</f>
        <v/>
      </c>
      <c r="V392">
        <f>HYPERLINK("https://klasma.github.io/Logging_1460/klagomål/A 9043-2021 FSC-klagomål.docx", "A 9043-2021")</f>
        <v/>
      </c>
      <c r="W392">
        <f>HYPERLINK("https://klasma.github.io/Logging_1460/klagomålsmail/A 9043-2021 FSC-klagomål mail.docx", "A 9043-2021")</f>
        <v/>
      </c>
      <c r="X392">
        <f>HYPERLINK("https://klasma.github.io/Logging_1460/tillsyn/A 9043-2021 tillsynsbegäran.docx", "A 9043-2021")</f>
        <v/>
      </c>
      <c r="Y392">
        <f>HYPERLINK("https://klasma.github.io/Logging_1460/tillsynsmail/A 9043-2021 tillsynsbegäran mail.docx", "A 9043-2021")</f>
        <v/>
      </c>
    </row>
    <row r="393" ht="15" customHeight="1">
      <c r="A393" t="inlineStr">
        <is>
          <t>A 9246-2021</t>
        </is>
      </c>
      <c r="B393" s="1" t="n">
        <v>44250</v>
      </c>
      <c r="C393" s="1" t="n">
        <v>45227</v>
      </c>
      <c r="D393" t="inlineStr">
        <is>
          <t>VÄSTRA GÖTALANDS LÄN</t>
        </is>
      </c>
      <c r="E393" t="inlineStr">
        <is>
          <t>SVENLJUNGA</t>
        </is>
      </c>
      <c r="G393" t="n">
        <v>4.7</v>
      </c>
      <c r="H393" t="n">
        <v>1</v>
      </c>
      <c r="I393" t="n">
        <v>0</v>
      </c>
      <c r="J393" t="n">
        <v>0</v>
      </c>
      <c r="K393" t="n">
        <v>0</v>
      </c>
      <c r="L393" t="n">
        <v>0</v>
      </c>
      <c r="M393" t="n">
        <v>0</v>
      </c>
      <c r="N393" t="n">
        <v>0</v>
      </c>
      <c r="O393" t="n">
        <v>0</v>
      </c>
      <c r="P393" t="n">
        <v>0</v>
      </c>
      <c r="Q393" t="n">
        <v>1</v>
      </c>
      <c r="R393" s="2" t="inlineStr">
        <is>
          <t>Lopplummer</t>
        </is>
      </c>
      <c r="S393">
        <f>HYPERLINK("https://klasma.github.io/Logging_1465/artfynd/A 9246-2021 artfynd.xlsx", "A 9246-2021")</f>
        <v/>
      </c>
      <c r="T393">
        <f>HYPERLINK("https://klasma.github.io/Logging_1465/kartor/A 9246-2021 karta.png", "A 9246-2021")</f>
        <v/>
      </c>
      <c r="V393">
        <f>HYPERLINK("https://klasma.github.io/Logging_1465/klagomål/A 9246-2021 FSC-klagomål.docx", "A 9246-2021")</f>
        <v/>
      </c>
      <c r="W393">
        <f>HYPERLINK("https://klasma.github.io/Logging_1465/klagomålsmail/A 9246-2021 FSC-klagomål mail.docx", "A 9246-2021")</f>
        <v/>
      </c>
      <c r="X393">
        <f>HYPERLINK("https://klasma.github.io/Logging_1465/tillsyn/A 9246-2021 tillsynsbegäran.docx", "A 9246-2021")</f>
        <v/>
      </c>
      <c r="Y393">
        <f>HYPERLINK("https://klasma.github.io/Logging_1465/tillsynsmail/A 9246-2021 tillsynsbegäran mail.docx", "A 9246-2021")</f>
        <v/>
      </c>
    </row>
    <row r="394" ht="15" customHeight="1">
      <c r="A394" t="inlineStr">
        <is>
          <t>A 9947-2021</t>
        </is>
      </c>
      <c r="B394" s="1" t="n">
        <v>44252</v>
      </c>
      <c r="C394" s="1" t="n">
        <v>45227</v>
      </c>
      <c r="D394" t="inlineStr">
        <is>
          <t>VÄSTRA GÖTALANDS LÄN</t>
        </is>
      </c>
      <c r="E394" t="inlineStr">
        <is>
          <t>STRÖMSTAD</t>
        </is>
      </c>
      <c r="G394" t="n">
        <v>3.1</v>
      </c>
      <c r="H394" t="n">
        <v>1</v>
      </c>
      <c r="I394" t="n">
        <v>0</v>
      </c>
      <c r="J394" t="n">
        <v>0</v>
      </c>
      <c r="K394" t="n">
        <v>1</v>
      </c>
      <c r="L394" t="n">
        <v>0</v>
      </c>
      <c r="M394" t="n">
        <v>0</v>
      </c>
      <c r="N394" t="n">
        <v>0</v>
      </c>
      <c r="O394" t="n">
        <v>1</v>
      </c>
      <c r="P394" t="n">
        <v>1</v>
      </c>
      <c r="Q394" t="n">
        <v>1</v>
      </c>
      <c r="R394" s="2" t="inlineStr">
        <is>
          <t>Knärot</t>
        </is>
      </c>
      <c r="S394">
        <f>HYPERLINK("https://klasma.github.io/Logging_1486/artfynd/A 9947-2021 artfynd.xlsx", "A 9947-2021")</f>
        <v/>
      </c>
      <c r="T394">
        <f>HYPERLINK("https://klasma.github.io/Logging_1486/kartor/A 9947-2021 karta.png", "A 9947-2021")</f>
        <v/>
      </c>
      <c r="U394">
        <f>HYPERLINK("https://klasma.github.io/Logging_1486/knärot/A 9947-2021 karta knärot.png", "A 9947-2021")</f>
        <v/>
      </c>
      <c r="V394">
        <f>HYPERLINK("https://klasma.github.io/Logging_1486/klagomål/A 9947-2021 FSC-klagomål.docx", "A 9947-2021")</f>
        <v/>
      </c>
      <c r="W394">
        <f>HYPERLINK("https://klasma.github.io/Logging_1486/klagomålsmail/A 9947-2021 FSC-klagomål mail.docx", "A 9947-2021")</f>
        <v/>
      </c>
      <c r="X394">
        <f>HYPERLINK("https://klasma.github.io/Logging_1486/tillsyn/A 9947-2021 tillsynsbegäran.docx", "A 9947-2021")</f>
        <v/>
      </c>
      <c r="Y394">
        <f>HYPERLINK("https://klasma.github.io/Logging_1486/tillsynsmail/A 9947-2021 tillsynsbegäran mail.docx", "A 9947-2021")</f>
        <v/>
      </c>
    </row>
    <row r="395" ht="15" customHeight="1">
      <c r="A395" t="inlineStr">
        <is>
          <t>A 9865-2021</t>
        </is>
      </c>
      <c r="B395" s="1" t="n">
        <v>44253</v>
      </c>
      <c r="C395" s="1" t="n">
        <v>45227</v>
      </c>
      <c r="D395" t="inlineStr">
        <is>
          <t>VÄSTRA GÖTALANDS LÄN</t>
        </is>
      </c>
      <c r="E395" t="inlineStr">
        <is>
          <t>LYSEKIL</t>
        </is>
      </c>
      <c r="G395" t="n">
        <v>2</v>
      </c>
      <c r="H395" t="n">
        <v>0</v>
      </c>
      <c r="I395" t="n">
        <v>0</v>
      </c>
      <c r="J395" t="n">
        <v>1</v>
      </c>
      <c r="K395" t="n">
        <v>0</v>
      </c>
      <c r="L395" t="n">
        <v>0</v>
      </c>
      <c r="M395" t="n">
        <v>0</v>
      </c>
      <c r="N395" t="n">
        <v>0</v>
      </c>
      <c r="O395" t="n">
        <v>1</v>
      </c>
      <c r="P395" t="n">
        <v>0</v>
      </c>
      <c r="Q395" t="n">
        <v>1</v>
      </c>
      <c r="R395" s="2" t="inlineStr">
        <is>
          <t>Svinrot</t>
        </is>
      </c>
      <c r="S395">
        <f>HYPERLINK("https://klasma.github.io/Logging_1484/artfynd/A 9865-2021 artfynd.xlsx", "A 9865-2021")</f>
        <v/>
      </c>
      <c r="T395">
        <f>HYPERLINK("https://klasma.github.io/Logging_1484/kartor/A 9865-2021 karta.png", "A 9865-2021")</f>
        <v/>
      </c>
      <c r="V395">
        <f>HYPERLINK("https://klasma.github.io/Logging_1484/klagomål/A 9865-2021 FSC-klagomål.docx", "A 9865-2021")</f>
        <v/>
      </c>
      <c r="W395">
        <f>HYPERLINK("https://klasma.github.io/Logging_1484/klagomålsmail/A 9865-2021 FSC-klagomål mail.docx", "A 9865-2021")</f>
        <v/>
      </c>
      <c r="X395">
        <f>HYPERLINK("https://klasma.github.io/Logging_1484/tillsyn/A 9865-2021 tillsynsbegäran.docx", "A 9865-2021")</f>
        <v/>
      </c>
      <c r="Y395">
        <f>HYPERLINK("https://klasma.github.io/Logging_1484/tillsynsmail/A 9865-2021 tillsynsbegäran mail.docx", "A 9865-2021")</f>
        <v/>
      </c>
    </row>
    <row r="396" ht="15" customHeight="1">
      <c r="A396" t="inlineStr">
        <is>
          <t>A 11615-2021</t>
        </is>
      </c>
      <c r="B396" s="1" t="n">
        <v>44264</v>
      </c>
      <c r="C396" s="1" t="n">
        <v>45227</v>
      </c>
      <c r="D396" t="inlineStr">
        <is>
          <t>VÄSTRA GÖTALANDS LÄN</t>
        </is>
      </c>
      <c r="E396" t="inlineStr">
        <is>
          <t>VÄNERSBORG</t>
        </is>
      </c>
      <c r="G396" t="n">
        <v>11.8</v>
      </c>
      <c r="H396" t="n">
        <v>1</v>
      </c>
      <c r="I396" t="n">
        <v>0</v>
      </c>
      <c r="J396" t="n">
        <v>1</v>
      </c>
      <c r="K396" t="n">
        <v>0</v>
      </c>
      <c r="L396" t="n">
        <v>0</v>
      </c>
      <c r="M396" t="n">
        <v>0</v>
      </c>
      <c r="N396" t="n">
        <v>0</v>
      </c>
      <c r="O396" t="n">
        <v>1</v>
      </c>
      <c r="P396" t="n">
        <v>0</v>
      </c>
      <c r="Q396" t="n">
        <v>1</v>
      </c>
      <c r="R396" s="2" t="inlineStr">
        <is>
          <t>Spillkråka</t>
        </is>
      </c>
      <c r="S396">
        <f>HYPERLINK("https://klasma.github.io/Logging_1487/artfynd/A 11615-2021 artfynd.xlsx", "A 11615-2021")</f>
        <v/>
      </c>
      <c r="T396">
        <f>HYPERLINK("https://klasma.github.io/Logging_1487/kartor/A 11615-2021 karta.png", "A 11615-2021")</f>
        <v/>
      </c>
      <c r="V396">
        <f>HYPERLINK("https://klasma.github.io/Logging_1487/klagomål/A 11615-2021 FSC-klagomål.docx", "A 11615-2021")</f>
        <v/>
      </c>
      <c r="W396">
        <f>HYPERLINK("https://klasma.github.io/Logging_1487/klagomålsmail/A 11615-2021 FSC-klagomål mail.docx", "A 11615-2021")</f>
        <v/>
      </c>
      <c r="X396">
        <f>HYPERLINK("https://klasma.github.io/Logging_1487/tillsyn/A 11615-2021 tillsynsbegäran.docx", "A 11615-2021")</f>
        <v/>
      </c>
      <c r="Y396">
        <f>HYPERLINK("https://klasma.github.io/Logging_1487/tillsynsmail/A 11615-2021 tillsynsbegäran mail.docx", "A 11615-2021")</f>
        <v/>
      </c>
    </row>
    <row r="397" ht="15" customHeight="1">
      <c r="A397" t="inlineStr">
        <is>
          <t>A 12624-2021</t>
        </is>
      </c>
      <c r="B397" s="1" t="n">
        <v>44270</v>
      </c>
      <c r="C397" s="1" t="n">
        <v>45227</v>
      </c>
      <c r="D397" t="inlineStr">
        <is>
          <t>VÄSTRA GÖTALANDS LÄN</t>
        </is>
      </c>
      <c r="E397" t="inlineStr">
        <is>
          <t>ÅMÅL</t>
        </is>
      </c>
      <c r="G397" t="n">
        <v>1.6</v>
      </c>
      <c r="H397" t="n">
        <v>0</v>
      </c>
      <c r="I397" t="n">
        <v>0</v>
      </c>
      <c r="J397" t="n">
        <v>1</v>
      </c>
      <c r="K397" t="n">
        <v>0</v>
      </c>
      <c r="L397" t="n">
        <v>0</v>
      </c>
      <c r="M397" t="n">
        <v>0</v>
      </c>
      <c r="N397" t="n">
        <v>0</v>
      </c>
      <c r="O397" t="n">
        <v>1</v>
      </c>
      <c r="P397" t="n">
        <v>0</v>
      </c>
      <c r="Q397" t="n">
        <v>1</v>
      </c>
      <c r="R397" s="2" t="inlineStr">
        <is>
          <t>Trollfibbla</t>
        </is>
      </c>
      <c r="S397">
        <f>HYPERLINK("https://klasma.github.io/Logging_1492/artfynd/A 12624-2021 artfynd.xlsx", "A 12624-2021")</f>
        <v/>
      </c>
      <c r="T397">
        <f>HYPERLINK("https://klasma.github.io/Logging_1492/kartor/A 12624-2021 karta.png", "A 12624-2021")</f>
        <v/>
      </c>
      <c r="V397">
        <f>HYPERLINK("https://klasma.github.io/Logging_1492/klagomål/A 12624-2021 FSC-klagomål.docx", "A 12624-2021")</f>
        <v/>
      </c>
      <c r="W397">
        <f>HYPERLINK("https://klasma.github.io/Logging_1492/klagomålsmail/A 12624-2021 FSC-klagomål mail.docx", "A 12624-2021")</f>
        <v/>
      </c>
      <c r="X397">
        <f>HYPERLINK("https://klasma.github.io/Logging_1492/tillsyn/A 12624-2021 tillsynsbegäran.docx", "A 12624-2021")</f>
        <v/>
      </c>
      <c r="Y397">
        <f>HYPERLINK("https://klasma.github.io/Logging_1492/tillsynsmail/A 12624-2021 tillsynsbegäran mail.docx", "A 12624-2021")</f>
        <v/>
      </c>
    </row>
    <row r="398" ht="15" customHeight="1">
      <c r="A398" t="inlineStr">
        <is>
          <t>A 13597-2021</t>
        </is>
      </c>
      <c r="B398" s="1" t="n">
        <v>44274</v>
      </c>
      <c r="C398" s="1" t="n">
        <v>45227</v>
      </c>
      <c r="D398" t="inlineStr">
        <is>
          <t>VÄSTRA GÖTALANDS LÄN</t>
        </is>
      </c>
      <c r="E398" t="inlineStr">
        <is>
          <t>TROLLHÄTTAN</t>
        </is>
      </c>
      <c r="G398" t="n">
        <v>1.6</v>
      </c>
      <c r="H398" t="n">
        <v>1</v>
      </c>
      <c r="I398" t="n">
        <v>0</v>
      </c>
      <c r="J398" t="n">
        <v>0</v>
      </c>
      <c r="K398" t="n">
        <v>0</v>
      </c>
      <c r="L398" t="n">
        <v>0</v>
      </c>
      <c r="M398" t="n">
        <v>0</v>
      </c>
      <c r="N398" t="n">
        <v>0</v>
      </c>
      <c r="O398" t="n">
        <v>0</v>
      </c>
      <c r="P398" t="n">
        <v>0</v>
      </c>
      <c r="Q398" t="n">
        <v>1</v>
      </c>
      <c r="R398" s="2" t="inlineStr">
        <is>
          <t>Skogsödla</t>
        </is>
      </c>
      <c r="S398">
        <f>HYPERLINK("https://klasma.github.io/Logging_1488/artfynd/A 13597-2021 artfynd.xlsx", "A 13597-2021")</f>
        <v/>
      </c>
      <c r="T398">
        <f>HYPERLINK("https://klasma.github.io/Logging_1488/kartor/A 13597-2021 karta.png", "A 13597-2021")</f>
        <v/>
      </c>
      <c r="V398">
        <f>HYPERLINK("https://klasma.github.io/Logging_1488/klagomål/A 13597-2021 FSC-klagomål.docx", "A 13597-2021")</f>
        <v/>
      </c>
      <c r="W398">
        <f>HYPERLINK("https://klasma.github.io/Logging_1488/klagomålsmail/A 13597-2021 FSC-klagomål mail.docx", "A 13597-2021")</f>
        <v/>
      </c>
      <c r="X398">
        <f>HYPERLINK("https://klasma.github.io/Logging_1488/tillsyn/A 13597-2021 tillsynsbegäran.docx", "A 13597-2021")</f>
        <v/>
      </c>
      <c r="Y398">
        <f>HYPERLINK("https://klasma.github.io/Logging_1488/tillsynsmail/A 13597-2021 tillsynsbegäran mail.docx", "A 13597-2021")</f>
        <v/>
      </c>
    </row>
    <row r="399" ht="15" customHeight="1">
      <c r="A399" t="inlineStr">
        <is>
          <t>A 17546-2021</t>
        </is>
      </c>
      <c r="B399" s="1" t="n">
        <v>44299</v>
      </c>
      <c r="C399" s="1" t="n">
        <v>45227</v>
      </c>
      <c r="D399" t="inlineStr">
        <is>
          <t>VÄSTRA GÖTALANDS LÄN</t>
        </is>
      </c>
      <c r="E399" t="inlineStr">
        <is>
          <t>SKARA</t>
        </is>
      </c>
      <c r="G399" t="n">
        <v>5.2</v>
      </c>
      <c r="H399" t="n">
        <v>0</v>
      </c>
      <c r="I399" t="n">
        <v>1</v>
      </c>
      <c r="J399" t="n">
        <v>0</v>
      </c>
      <c r="K399" t="n">
        <v>0</v>
      </c>
      <c r="L399" t="n">
        <v>0</v>
      </c>
      <c r="M399" t="n">
        <v>0</v>
      </c>
      <c r="N399" t="n">
        <v>0</v>
      </c>
      <c r="O399" t="n">
        <v>0</v>
      </c>
      <c r="P399" t="n">
        <v>0</v>
      </c>
      <c r="Q399" t="n">
        <v>1</v>
      </c>
      <c r="R399" s="2" t="inlineStr">
        <is>
          <t>Blomkålssvamp</t>
        </is>
      </c>
      <c r="S399">
        <f>HYPERLINK("https://klasma.github.io/Logging_1495/artfynd/A 17546-2021 artfynd.xlsx", "A 17546-2021")</f>
        <v/>
      </c>
      <c r="T399">
        <f>HYPERLINK("https://klasma.github.io/Logging_1495/kartor/A 17546-2021 karta.png", "A 17546-2021")</f>
        <v/>
      </c>
      <c r="V399">
        <f>HYPERLINK("https://klasma.github.io/Logging_1495/klagomål/A 17546-2021 FSC-klagomål.docx", "A 17546-2021")</f>
        <v/>
      </c>
      <c r="W399">
        <f>HYPERLINK("https://klasma.github.io/Logging_1495/klagomålsmail/A 17546-2021 FSC-klagomål mail.docx", "A 17546-2021")</f>
        <v/>
      </c>
      <c r="X399">
        <f>HYPERLINK("https://klasma.github.io/Logging_1495/tillsyn/A 17546-2021 tillsynsbegäran.docx", "A 17546-2021")</f>
        <v/>
      </c>
      <c r="Y399">
        <f>HYPERLINK("https://klasma.github.io/Logging_1495/tillsynsmail/A 17546-2021 tillsynsbegäran mail.docx", "A 17546-2021")</f>
        <v/>
      </c>
    </row>
    <row r="400" ht="15" customHeight="1">
      <c r="A400" t="inlineStr">
        <is>
          <t>A 17770-2021</t>
        </is>
      </c>
      <c r="B400" s="1" t="n">
        <v>44300</v>
      </c>
      <c r="C400" s="1" t="n">
        <v>45227</v>
      </c>
      <c r="D400" t="inlineStr">
        <is>
          <t>VÄSTRA GÖTALANDS LÄN</t>
        </is>
      </c>
      <c r="E400" t="inlineStr">
        <is>
          <t>SKARA</t>
        </is>
      </c>
      <c r="F400" t="inlineStr">
        <is>
          <t>Övriga statliga verk och myndigheter</t>
        </is>
      </c>
      <c r="G400" t="n">
        <v>2.7</v>
      </c>
      <c r="H400" t="n">
        <v>1</v>
      </c>
      <c r="I400" t="n">
        <v>0</v>
      </c>
      <c r="J400" t="n">
        <v>0</v>
      </c>
      <c r="K400" t="n">
        <v>0</v>
      </c>
      <c r="L400" t="n">
        <v>1</v>
      </c>
      <c r="M400" t="n">
        <v>0</v>
      </c>
      <c r="N400" t="n">
        <v>0</v>
      </c>
      <c r="O400" t="n">
        <v>1</v>
      </c>
      <c r="P400" t="n">
        <v>1</v>
      </c>
      <c r="Q400" t="n">
        <v>1</v>
      </c>
      <c r="R400" s="2" t="inlineStr">
        <is>
          <t>Brunand</t>
        </is>
      </c>
      <c r="S400">
        <f>HYPERLINK("https://klasma.github.io/Logging_1495/artfynd/A 17770-2021 artfynd.xlsx", "A 17770-2021")</f>
        <v/>
      </c>
      <c r="T400">
        <f>HYPERLINK("https://klasma.github.io/Logging_1495/kartor/A 17770-2021 karta.png", "A 17770-2021")</f>
        <v/>
      </c>
      <c r="V400">
        <f>HYPERLINK("https://klasma.github.io/Logging_1495/klagomål/A 17770-2021 FSC-klagomål.docx", "A 17770-2021")</f>
        <v/>
      </c>
      <c r="W400">
        <f>HYPERLINK("https://klasma.github.io/Logging_1495/klagomålsmail/A 17770-2021 FSC-klagomål mail.docx", "A 17770-2021")</f>
        <v/>
      </c>
      <c r="X400">
        <f>HYPERLINK("https://klasma.github.io/Logging_1495/tillsyn/A 17770-2021 tillsynsbegäran.docx", "A 17770-2021")</f>
        <v/>
      </c>
      <c r="Y400">
        <f>HYPERLINK("https://klasma.github.io/Logging_1495/tillsynsmail/A 17770-2021 tillsynsbegäran mail.docx", "A 17770-2021")</f>
        <v/>
      </c>
    </row>
    <row r="401" ht="15" customHeight="1">
      <c r="A401" t="inlineStr">
        <is>
          <t>A 17804-2021</t>
        </is>
      </c>
      <c r="B401" s="1" t="n">
        <v>44300</v>
      </c>
      <c r="C401" s="1" t="n">
        <v>45227</v>
      </c>
      <c r="D401" t="inlineStr">
        <is>
          <t>VÄSTRA GÖTALANDS LÄN</t>
        </is>
      </c>
      <c r="E401" t="inlineStr">
        <is>
          <t>STRÖMSTAD</t>
        </is>
      </c>
      <c r="G401" t="n">
        <v>9.6</v>
      </c>
      <c r="H401" t="n">
        <v>0</v>
      </c>
      <c r="I401" t="n">
        <v>1</v>
      </c>
      <c r="J401" t="n">
        <v>0</v>
      </c>
      <c r="K401" t="n">
        <v>0</v>
      </c>
      <c r="L401" t="n">
        <v>0</v>
      </c>
      <c r="M401" t="n">
        <v>0</v>
      </c>
      <c r="N401" t="n">
        <v>0</v>
      </c>
      <c r="O401" t="n">
        <v>0</v>
      </c>
      <c r="P401" t="n">
        <v>0</v>
      </c>
      <c r="Q401" t="n">
        <v>1</v>
      </c>
      <c r="R401" s="2" t="inlineStr">
        <is>
          <t>Blåmossa</t>
        </is>
      </c>
      <c r="S401">
        <f>HYPERLINK("https://klasma.github.io/Logging_1486/artfynd/A 17804-2021 artfynd.xlsx", "A 17804-2021")</f>
        <v/>
      </c>
      <c r="T401">
        <f>HYPERLINK("https://klasma.github.io/Logging_1486/kartor/A 17804-2021 karta.png", "A 17804-2021")</f>
        <v/>
      </c>
      <c r="V401">
        <f>HYPERLINK("https://klasma.github.io/Logging_1486/klagomål/A 17804-2021 FSC-klagomål.docx", "A 17804-2021")</f>
        <v/>
      </c>
      <c r="W401">
        <f>HYPERLINK("https://klasma.github.io/Logging_1486/klagomålsmail/A 17804-2021 FSC-klagomål mail.docx", "A 17804-2021")</f>
        <v/>
      </c>
      <c r="X401">
        <f>HYPERLINK("https://klasma.github.io/Logging_1486/tillsyn/A 17804-2021 tillsynsbegäran.docx", "A 17804-2021")</f>
        <v/>
      </c>
      <c r="Y401">
        <f>HYPERLINK("https://klasma.github.io/Logging_1486/tillsynsmail/A 17804-2021 tillsynsbegäran mail.docx", "A 17804-2021")</f>
        <v/>
      </c>
    </row>
    <row r="402" ht="15" customHeight="1">
      <c r="A402" t="inlineStr">
        <is>
          <t>A 19162-2021</t>
        </is>
      </c>
      <c r="B402" s="1" t="n">
        <v>44308</v>
      </c>
      <c r="C402" s="1" t="n">
        <v>45227</v>
      </c>
      <c r="D402" t="inlineStr">
        <is>
          <t>VÄSTRA GÖTALANDS LÄN</t>
        </is>
      </c>
      <c r="E402" t="inlineStr">
        <is>
          <t>TRANEMO</t>
        </is>
      </c>
      <c r="F402" t="inlineStr">
        <is>
          <t>Sveaskog</t>
        </is>
      </c>
      <c r="G402" t="n">
        <v>5.2</v>
      </c>
      <c r="H402" t="n">
        <v>0</v>
      </c>
      <c r="I402" t="n">
        <v>0</v>
      </c>
      <c r="J402" t="n">
        <v>1</v>
      </c>
      <c r="K402" t="n">
        <v>0</v>
      </c>
      <c r="L402" t="n">
        <v>0</v>
      </c>
      <c r="M402" t="n">
        <v>0</v>
      </c>
      <c r="N402" t="n">
        <v>0</v>
      </c>
      <c r="O402" t="n">
        <v>1</v>
      </c>
      <c r="P402" t="n">
        <v>0</v>
      </c>
      <c r="Q402" t="n">
        <v>1</v>
      </c>
      <c r="R402" s="2" t="inlineStr">
        <is>
          <t>Borsttåg</t>
        </is>
      </c>
      <c r="S402">
        <f>HYPERLINK("https://klasma.github.io/Logging_1452/artfynd/A 19162-2021 artfynd.xlsx", "A 19162-2021")</f>
        <v/>
      </c>
      <c r="T402">
        <f>HYPERLINK("https://klasma.github.io/Logging_1452/kartor/A 19162-2021 karta.png", "A 19162-2021")</f>
        <v/>
      </c>
      <c r="V402">
        <f>HYPERLINK("https://klasma.github.io/Logging_1452/klagomål/A 19162-2021 FSC-klagomål.docx", "A 19162-2021")</f>
        <v/>
      </c>
      <c r="W402">
        <f>HYPERLINK("https://klasma.github.io/Logging_1452/klagomålsmail/A 19162-2021 FSC-klagomål mail.docx", "A 19162-2021")</f>
        <v/>
      </c>
      <c r="X402">
        <f>HYPERLINK("https://klasma.github.io/Logging_1452/tillsyn/A 19162-2021 tillsynsbegäran.docx", "A 19162-2021")</f>
        <v/>
      </c>
      <c r="Y402">
        <f>HYPERLINK("https://klasma.github.io/Logging_1452/tillsynsmail/A 19162-2021 tillsynsbegäran mail.docx", "A 19162-2021")</f>
        <v/>
      </c>
    </row>
    <row r="403" ht="15" customHeight="1">
      <c r="A403" t="inlineStr">
        <is>
          <t>A 21050-2021</t>
        </is>
      </c>
      <c r="B403" s="1" t="n">
        <v>44319</v>
      </c>
      <c r="C403" s="1" t="n">
        <v>45227</v>
      </c>
      <c r="D403" t="inlineStr">
        <is>
          <t>VÄSTRA GÖTALANDS LÄN</t>
        </is>
      </c>
      <c r="E403" t="inlineStr">
        <is>
          <t>SKARA</t>
        </is>
      </c>
      <c r="G403" t="n">
        <v>13</v>
      </c>
      <c r="H403" t="n">
        <v>1</v>
      </c>
      <c r="I403" t="n">
        <v>0</v>
      </c>
      <c r="J403" t="n">
        <v>0</v>
      </c>
      <c r="K403" t="n">
        <v>1</v>
      </c>
      <c r="L403" t="n">
        <v>0</v>
      </c>
      <c r="M403" t="n">
        <v>0</v>
      </c>
      <c r="N403" t="n">
        <v>0</v>
      </c>
      <c r="O403" t="n">
        <v>1</v>
      </c>
      <c r="P403" t="n">
        <v>1</v>
      </c>
      <c r="Q403" t="n">
        <v>1</v>
      </c>
      <c r="R403" s="2" t="inlineStr">
        <is>
          <t>Knärot</t>
        </is>
      </c>
      <c r="S403">
        <f>HYPERLINK("https://klasma.github.io/Logging_1495/artfynd/A 21050-2021 artfynd.xlsx", "A 21050-2021")</f>
        <v/>
      </c>
      <c r="T403">
        <f>HYPERLINK("https://klasma.github.io/Logging_1495/kartor/A 21050-2021 karta.png", "A 21050-2021")</f>
        <v/>
      </c>
      <c r="U403">
        <f>HYPERLINK("https://klasma.github.io/Logging_1495/knärot/A 21050-2021 karta knärot.png", "A 21050-2021")</f>
        <v/>
      </c>
      <c r="V403">
        <f>HYPERLINK("https://klasma.github.io/Logging_1495/klagomål/A 21050-2021 FSC-klagomål.docx", "A 21050-2021")</f>
        <v/>
      </c>
      <c r="W403">
        <f>HYPERLINK("https://klasma.github.io/Logging_1495/klagomålsmail/A 21050-2021 FSC-klagomål mail.docx", "A 21050-2021")</f>
        <v/>
      </c>
      <c r="X403">
        <f>HYPERLINK("https://klasma.github.io/Logging_1495/tillsyn/A 21050-2021 tillsynsbegäran.docx", "A 21050-2021")</f>
        <v/>
      </c>
      <c r="Y403">
        <f>HYPERLINK("https://klasma.github.io/Logging_1495/tillsynsmail/A 21050-2021 tillsynsbegäran mail.docx", "A 21050-2021")</f>
        <v/>
      </c>
    </row>
    <row r="404" ht="15" customHeight="1">
      <c r="A404" t="inlineStr">
        <is>
          <t>A 23519-2021</t>
        </is>
      </c>
      <c r="B404" s="1" t="n">
        <v>44333</v>
      </c>
      <c r="C404" s="1" t="n">
        <v>45227</v>
      </c>
      <c r="D404" t="inlineStr">
        <is>
          <t>VÄSTRA GÖTALANDS LÄN</t>
        </is>
      </c>
      <c r="E404" t="inlineStr">
        <is>
          <t>MARK</t>
        </is>
      </c>
      <c r="G404" t="n">
        <v>0.8</v>
      </c>
      <c r="H404" t="n">
        <v>0</v>
      </c>
      <c r="I404" t="n">
        <v>0</v>
      </c>
      <c r="J404" t="n">
        <v>1</v>
      </c>
      <c r="K404" t="n">
        <v>0</v>
      </c>
      <c r="L404" t="n">
        <v>0</v>
      </c>
      <c r="M404" t="n">
        <v>0</v>
      </c>
      <c r="N404" t="n">
        <v>0</v>
      </c>
      <c r="O404" t="n">
        <v>1</v>
      </c>
      <c r="P404" t="n">
        <v>0</v>
      </c>
      <c r="Q404" t="n">
        <v>1</v>
      </c>
      <c r="R404" s="2" t="inlineStr">
        <is>
          <t>Grynig filtlav</t>
        </is>
      </c>
      <c r="S404">
        <f>HYPERLINK("https://klasma.github.io/Logging_1463/artfynd/A 23519-2021 artfynd.xlsx", "A 23519-2021")</f>
        <v/>
      </c>
      <c r="T404">
        <f>HYPERLINK("https://klasma.github.io/Logging_1463/kartor/A 23519-2021 karta.png", "A 23519-2021")</f>
        <v/>
      </c>
      <c r="V404">
        <f>HYPERLINK("https://klasma.github.io/Logging_1463/klagomål/A 23519-2021 FSC-klagomål.docx", "A 23519-2021")</f>
        <v/>
      </c>
      <c r="W404">
        <f>HYPERLINK("https://klasma.github.io/Logging_1463/klagomålsmail/A 23519-2021 FSC-klagomål mail.docx", "A 23519-2021")</f>
        <v/>
      </c>
      <c r="X404">
        <f>HYPERLINK("https://klasma.github.io/Logging_1463/tillsyn/A 23519-2021 tillsynsbegäran.docx", "A 23519-2021")</f>
        <v/>
      </c>
      <c r="Y404">
        <f>HYPERLINK("https://klasma.github.io/Logging_1463/tillsynsmail/A 23519-2021 tillsynsbegäran mail.docx", "A 23519-2021")</f>
        <v/>
      </c>
    </row>
    <row r="405" ht="15" customHeight="1">
      <c r="A405" t="inlineStr">
        <is>
          <t>A 23982-2021</t>
        </is>
      </c>
      <c r="B405" s="1" t="n">
        <v>44335</v>
      </c>
      <c r="C405" s="1" t="n">
        <v>45227</v>
      </c>
      <c r="D405" t="inlineStr">
        <is>
          <t>VÄSTRA GÖTALANDS LÄN</t>
        </is>
      </c>
      <c r="E405" t="inlineStr">
        <is>
          <t>MARK</t>
        </is>
      </c>
      <c r="G405" t="n">
        <v>2.6</v>
      </c>
      <c r="H405" t="n">
        <v>1</v>
      </c>
      <c r="I405" t="n">
        <v>0</v>
      </c>
      <c r="J405" t="n">
        <v>0</v>
      </c>
      <c r="K405" t="n">
        <v>0</v>
      </c>
      <c r="L405" t="n">
        <v>0</v>
      </c>
      <c r="M405" t="n">
        <v>0</v>
      </c>
      <c r="N405" t="n">
        <v>0</v>
      </c>
      <c r="O405" t="n">
        <v>0</v>
      </c>
      <c r="P405" t="n">
        <v>0</v>
      </c>
      <c r="Q405" t="n">
        <v>1</v>
      </c>
      <c r="R405" s="2" t="inlineStr">
        <is>
          <t>Revlummer</t>
        </is>
      </c>
      <c r="S405">
        <f>HYPERLINK("https://klasma.github.io/Logging_1463/artfynd/A 23982-2021 artfynd.xlsx", "A 23982-2021")</f>
        <v/>
      </c>
      <c r="T405">
        <f>HYPERLINK("https://klasma.github.io/Logging_1463/kartor/A 23982-2021 karta.png", "A 23982-2021")</f>
        <v/>
      </c>
      <c r="V405">
        <f>HYPERLINK("https://klasma.github.io/Logging_1463/klagomål/A 23982-2021 FSC-klagomål.docx", "A 23982-2021")</f>
        <v/>
      </c>
      <c r="W405">
        <f>HYPERLINK("https://klasma.github.io/Logging_1463/klagomålsmail/A 23982-2021 FSC-klagomål mail.docx", "A 23982-2021")</f>
        <v/>
      </c>
      <c r="X405">
        <f>HYPERLINK("https://klasma.github.io/Logging_1463/tillsyn/A 23982-2021 tillsynsbegäran.docx", "A 23982-2021")</f>
        <v/>
      </c>
      <c r="Y405">
        <f>HYPERLINK("https://klasma.github.io/Logging_1463/tillsynsmail/A 23982-2021 tillsynsbegäran mail.docx", "A 23982-2021")</f>
        <v/>
      </c>
    </row>
    <row r="406" ht="15" customHeight="1">
      <c r="A406" t="inlineStr">
        <is>
          <t>A 25884-2021</t>
        </is>
      </c>
      <c r="B406" s="1" t="n">
        <v>44344</v>
      </c>
      <c r="C406" s="1" t="n">
        <v>45227</v>
      </c>
      <c r="D406" t="inlineStr">
        <is>
          <t>VÄSTRA GÖTALANDS LÄN</t>
        </is>
      </c>
      <c r="E406" t="inlineStr">
        <is>
          <t>SKARA</t>
        </is>
      </c>
      <c r="G406" t="n">
        <v>0.5</v>
      </c>
      <c r="H406" t="n">
        <v>1</v>
      </c>
      <c r="I406" t="n">
        <v>0</v>
      </c>
      <c r="J406" t="n">
        <v>0</v>
      </c>
      <c r="K406" t="n">
        <v>0</v>
      </c>
      <c r="L406" t="n">
        <v>0</v>
      </c>
      <c r="M406" t="n">
        <v>0</v>
      </c>
      <c r="N406" t="n">
        <v>0</v>
      </c>
      <c r="O406" t="n">
        <v>0</v>
      </c>
      <c r="P406" t="n">
        <v>0</v>
      </c>
      <c r="Q406" t="n">
        <v>1</v>
      </c>
      <c r="R406" s="2" t="inlineStr">
        <is>
          <t>Nattviol</t>
        </is>
      </c>
      <c r="S406">
        <f>HYPERLINK("https://klasma.github.io/Logging_1495/artfynd/A 25884-2021 artfynd.xlsx", "A 25884-2021")</f>
        <v/>
      </c>
      <c r="T406">
        <f>HYPERLINK("https://klasma.github.io/Logging_1495/kartor/A 25884-2021 karta.png", "A 25884-2021")</f>
        <v/>
      </c>
      <c r="V406">
        <f>HYPERLINK("https://klasma.github.io/Logging_1495/klagomål/A 25884-2021 FSC-klagomål.docx", "A 25884-2021")</f>
        <v/>
      </c>
      <c r="W406">
        <f>HYPERLINK("https://klasma.github.io/Logging_1495/klagomålsmail/A 25884-2021 FSC-klagomål mail.docx", "A 25884-2021")</f>
        <v/>
      </c>
      <c r="X406">
        <f>HYPERLINK("https://klasma.github.io/Logging_1495/tillsyn/A 25884-2021 tillsynsbegäran.docx", "A 25884-2021")</f>
        <v/>
      </c>
      <c r="Y406">
        <f>HYPERLINK("https://klasma.github.io/Logging_1495/tillsynsmail/A 25884-2021 tillsynsbegäran mail.docx", "A 25884-2021")</f>
        <v/>
      </c>
    </row>
    <row r="407" ht="15" customHeight="1">
      <c r="A407" t="inlineStr">
        <is>
          <t>A 26710-2021</t>
        </is>
      </c>
      <c r="B407" s="1" t="n">
        <v>44349</v>
      </c>
      <c r="C407" s="1" t="n">
        <v>45227</v>
      </c>
      <c r="D407" t="inlineStr">
        <is>
          <t>VÄSTRA GÖTALANDS LÄN</t>
        </is>
      </c>
      <c r="E407" t="inlineStr">
        <is>
          <t>FALKÖPING</t>
        </is>
      </c>
      <c r="G407" t="n">
        <v>3.1</v>
      </c>
      <c r="H407" t="n">
        <v>0</v>
      </c>
      <c r="I407" t="n">
        <v>1</v>
      </c>
      <c r="J407" t="n">
        <v>0</v>
      </c>
      <c r="K407" t="n">
        <v>0</v>
      </c>
      <c r="L407" t="n">
        <v>0</v>
      </c>
      <c r="M407" t="n">
        <v>0</v>
      </c>
      <c r="N407" t="n">
        <v>0</v>
      </c>
      <c r="O407" t="n">
        <v>0</v>
      </c>
      <c r="P407" t="n">
        <v>0</v>
      </c>
      <c r="Q407" t="n">
        <v>1</v>
      </c>
      <c r="R407" s="2" t="inlineStr">
        <is>
          <t>Tibast</t>
        </is>
      </c>
      <c r="S407">
        <f>HYPERLINK("https://klasma.github.io/Logging_1499/artfynd/A 26710-2021 artfynd.xlsx", "A 26710-2021")</f>
        <v/>
      </c>
      <c r="T407">
        <f>HYPERLINK("https://klasma.github.io/Logging_1499/kartor/A 26710-2021 karta.png", "A 26710-2021")</f>
        <v/>
      </c>
      <c r="V407">
        <f>HYPERLINK("https://klasma.github.io/Logging_1499/klagomål/A 26710-2021 FSC-klagomål.docx", "A 26710-2021")</f>
        <v/>
      </c>
      <c r="W407">
        <f>HYPERLINK("https://klasma.github.io/Logging_1499/klagomålsmail/A 26710-2021 FSC-klagomål mail.docx", "A 26710-2021")</f>
        <v/>
      </c>
      <c r="X407">
        <f>HYPERLINK("https://klasma.github.io/Logging_1499/tillsyn/A 26710-2021 tillsynsbegäran.docx", "A 26710-2021")</f>
        <v/>
      </c>
      <c r="Y407">
        <f>HYPERLINK("https://klasma.github.io/Logging_1499/tillsynsmail/A 26710-2021 tillsynsbegäran mail.docx", "A 26710-2021")</f>
        <v/>
      </c>
    </row>
    <row r="408" ht="15" customHeight="1">
      <c r="A408" t="inlineStr">
        <is>
          <t>A 29668-2021</t>
        </is>
      </c>
      <c r="B408" s="1" t="n">
        <v>44361</v>
      </c>
      <c r="C408" s="1" t="n">
        <v>45227</v>
      </c>
      <c r="D408" t="inlineStr">
        <is>
          <t>VÄSTRA GÖTALANDS LÄN</t>
        </is>
      </c>
      <c r="E408" t="inlineStr">
        <is>
          <t>TANUM</t>
        </is>
      </c>
      <c r="F408" t="inlineStr">
        <is>
          <t>Kyrkan</t>
        </is>
      </c>
      <c r="G408" t="n">
        <v>4.2</v>
      </c>
      <c r="H408" t="n">
        <v>1</v>
      </c>
      <c r="I408" t="n">
        <v>0</v>
      </c>
      <c r="J408" t="n">
        <v>1</v>
      </c>
      <c r="K408" t="n">
        <v>0</v>
      </c>
      <c r="L408" t="n">
        <v>0</v>
      </c>
      <c r="M408" t="n">
        <v>0</v>
      </c>
      <c r="N408" t="n">
        <v>0</v>
      </c>
      <c r="O408" t="n">
        <v>1</v>
      </c>
      <c r="P408" t="n">
        <v>0</v>
      </c>
      <c r="Q408" t="n">
        <v>1</v>
      </c>
      <c r="R408" s="2" t="inlineStr">
        <is>
          <t>Stenfalk</t>
        </is>
      </c>
      <c r="S408">
        <f>HYPERLINK("https://klasma.github.io/Logging_1435/artfynd/A 29668-2021 artfynd.xlsx", "A 29668-2021")</f>
        <v/>
      </c>
      <c r="T408">
        <f>HYPERLINK("https://klasma.github.io/Logging_1435/kartor/A 29668-2021 karta.png", "A 29668-2021")</f>
        <v/>
      </c>
      <c r="V408">
        <f>HYPERLINK("https://klasma.github.io/Logging_1435/klagomål/A 29668-2021 FSC-klagomål.docx", "A 29668-2021")</f>
        <v/>
      </c>
      <c r="W408">
        <f>HYPERLINK("https://klasma.github.io/Logging_1435/klagomålsmail/A 29668-2021 FSC-klagomål mail.docx", "A 29668-2021")</f>
        <v/>
      </c>
      <c r="X408">
        <f>HYPERLINK("https://klasma.github.io/Logging_1435/tillsyn/A 29668-2021 tillsynsbegäran.docx", "A 29668-2021")</f>
        <v/>
      </c>
      <c r="Y408">
        <f>HYPERLINK("https://klasma.github.io/Logging_1435/tillsynsmail/A 29668-2021 tillsynsbegäran mail.docx", "A 29668-2021")</f>
        <v/>
      </c>
    </row>
    <row r="409" ht="15" customHeight="1">
      <c r="A409" t="inlineStr">
        <is>
          <t>A 34678-2021</t>
        </is>
      </c>
      <c r="B409" s="1" t="n">
        <v>44381</v>
      </c>
      <c r="C409" s="1" t="n">
        <v>45227</v>
      </c>
      <c r="D409" t="inlineStr">
        <is>
          <t>VÄSTRA GÖTALANDS LÄN</t>
        </is>
      </c>
      <c r="E409" t="inlineStr">
        <is>
          <t>SOTENÄS</t>
        </is>
      </c>
      <c r="G409" t="n">
        <v>6.6</v>
      </c>
      <c r="H409" t="n">
        <v>0</v>
      </c>
      <c r="I409" t="n">
        <v>0</v>
      </c>
      <c r="J409" t="n">
        <v>1</v>
      </c>
      <c r="K409" t="n">
        <v>0</v>
      </c>
      <c r="L409" t="n">
        <v>0</v>
      </c>
      <c r="M409" t="n">
        <v>0</v>
      </c>
      <c r="N409" t="n">
        <v>0</v>
      </c>
      <c r="O409" t="n">
        <v>1</v>
      </c>
      <c r="P409" t="n">
        <v>0</v>
      </c>
      <c r="Q409" t="n">
        <v>1</v>
      </c>
      <c r="R409" s="2" t="inlineStr">
        <is>
          <t>Stor bandmossa</t>
        </is>
      </c>
      <c r="S409">
        <f>HYPERLINK("https://klasma.github.io/Logging_1427/artfynd/A 34678-2021 artfynd.xlsx", "A 34678-2021")</f>
        <v/>
      </c>
      <c r="T409">
        <f>HYPERLINK("https://klasma.github.io/Logging_1427/kartor/A 34678-2021 karta.png", "A 34678-2021")</f>
        <v/>
      </c>
      <c r="V409">
        <f>HYPERLINK("https://klasma.github.io/Logging_1427/klagomål/A 34678-2021 FSC-klagomål.docx", "A 34678-2021")</f>
        <v/>
      </c>
      <c r="W409">
        <f>HYPERLINK("https://klasma.github.io/Logging_1427/klagomålsmail/A 34678-2021 FSC-klagomål mail.docx", "A 34678-2021")</f>
        <v/>
      </c>
      <c r="X409">
        <f>HYPERLINK("https://klasma.github.io/Logging_1427/tillsyn/A 34678-2021 tillsynsbegäran.docx", "A 34678-2021")</f>
        <v/>
      </c>
      <c r="Y409">
        <f>HYPERLINK("https://klasma.github.io/Logging_1427/tillsynsmail/A 34678-2021 tillsynsbegäran mail.docx", "A 34678-2021")</f>
        <v/>
      </c>
    </row>
    <row r="410" ht="15" customHeight="1">
      <c r="A410" t="inlineStr">
        <is>
          <t>A 34589-2021</t>
        </is>
      </c>
      <c r="B410" s="1" t="n">
        <v>44382</v>
      </c>
      <c r="C410" s="1" t="n">
        <v>45227</v>
      </c>
      <c r="D410" t="inlineStr">
        <is>
          <t>VÄSTRA GÖTALANDS LÄN</t>
        </is>
      </c>
      <c r="E410" t="inlineStr">
        <is>
          <t>VÄNERSBORG</t>
        </is>
      </c>
      <c r="F410" t="inlineStr">
        <is>
          <t>Sveaskog</t>
        </is>
      </c>
      <c r="G410" t="n">
        <v>13.7</v>
      </c>
      <c r="H410" t="n">
        <v>1</v>
      </c>
      <c r="I410" t="n">
        <v>0</v>
      </c>
      <c r="J410" t="n">
        <v>0</v>
      </c>
      <c r="K410" t="n">
        <v>0</v>
      </c>
      <c r="L410" t="n">
        <v>0</v>
      </c>
      <c r="M410" t="n">
        <v>0</v>
      </c>
      <c r="N410" t="n">
        <v>0</v>
      </c>
      <c r="O410" t="n">
        <v>0</v>
      </c>
      <c r="P410" t="n">
        <v>0</v>
      </c>
      <c r="Q410" t="n">
        <v>1</v>
      </c>
      <c r="R410" s="2" t="inlineStr">
        <is>
          <t>Blåsippa</t>
        </is>
      </c>
      <c r="S410">
        <f>HYPERLINK("https://klasma.github.io/Logging_1487/artfynd/A 34589-2021 artfynd.xlsx", "A 34589-2021")</f>
        <v/>
      </c>
      <c r="T410">
        <f>HYPERLINK("https://klasma.github.io/Logging_1487/kartor/A 34589-2021 karta.png", "A 34589-2021")</f>
        <v/>
      </c>
      <c r="V410">
        <f>HYPERLINK("https://klasma.github.io/Logging_1487/klagomål/A 34589-2021 FSC-klagomål.docx", "A 34589-2021")</f>
        <v/>
      </c>
      <c r="W410">
        <f>HYPERLINK("https://klasma.github.io/Logging_1487/klagomålsmail/A 34589-2021 FSC-klagomål mail.docx", "A 34589-2021")</f>
        <v/>
      </c>
      <c r="X410">
        <f>HYPERLINK("https://klasma.github.io/Logging_1487/tillsyn/A 34589-2021 tillsynsbegäran.docx", "A 34589-2021")</f>
        <v/>
      </c>
      <c r="Y410">
        <f>HYPERLINK("https://klasma.github.io/Logging_1487/tillsynsmail/A 34589-2021 tillsynsbegäran mail.docx", "A 34589-2021")</f>
        <v/>
      </c>
    </row>
    <row r="411" ht="15" customHeight="1">
      <c r="A411" t="inlineStr">
        <is>
          <t>A 36083-2021</t>
        </is>
      </c>
      <c r="B411" s="1" t="n">
        <v>44389</v>
      </c>
      <c r="C411" s="1" t="n">
        <v>45227</v>
      </c>
      <c r="D411" t="inlineStr">
        <is>
          <t>VÄSTRA GÖTALANDS LÄN</t>
        </is>
      </c>
      <c r="E411" t="inlineStr">
        <is>
          <t>MELLERUD</t>
        </is>
      </c>
      <c r="G411" t="n">
        <v>4.1</v>
      </c>
      <c r="H411" t="n">
        <v>0</v>
      </c>
      <c r="I411" t="n">
        <v>1</v>
      </c>
      <c r="J411" t="n">
        <v>0</v>
      </c>
      <c r="K411" t="n">
        <v>0</v>
      </c>
      <c r="L411" t="n">
        <v>0</v>
      </c>
      <c r="M411" t="n">
        <v>0</v>
      </c>
      <c r="N411" t="n">
        <v>0</v>
      </c>
      <c r="O411" t="n">
        <v>0</v>
      </c>
      <c r="P411" t="n">
        <v>0</v>
      </c>
      <c r="Q411" t="n">
        <v>1</v>
      </c>
      <c r="R411" s="2" t="inlineStr">
        <is>
          <t>Strutbräken</t>
        </is>
      </c>
      <c r="S411">
        <f>HYPERLINK("https://klasma.github.io/Logging_1461/artfynd/A 36083-2021 artfynd.xlsx", "A 36083-2021")</f>
        <v/>
      </c>
      <c r="T411">
        <f>HYPERLINK("https://klasma.github.io/Logging_1461/kartor/A 36083-2021 karta.png", "A 36083-2021")</f>
        <v/>
      </c>
      <c r="V411">
        <f>HYPERLINK("https://klasma.github.io/Logging_1461/klagomål/A 36083-2021 FSC-klagomål.docx", "A 36083-2021")</f>
        <v/>
      </c>
      <c r="W411">
        <f>HYPERLINK("https://klasma.github.io/Logging_1461/klagomålsmail/A 36083-2021 FSC-klagomål mail.docx", "A 36083-2021")</f>
        <v/>
      </c>
      <c r="X411">
        <f>HYPERLINK("https://klasma.github.io/Logging_1461/tillsyn/A 36083-2021 tillsynsbegäran.docx", "A 36083-2021")</f>
        <v/>
      </c>
      <c r="Y411">
        <f>HYPERLINK("https://klasma.github.io/Logging_1461/tillsynsmail/A 36083-2021 tillsynsbegäran mail.docx", "A 36083-2021")</f>
        <v/>
      </c>
    </row>
    <row r="412" ht="15" customHeight="1">
      <c r="A412" t="inlineStr">
        <is>
          <t>A 36840-2021</t>
        </is>
      </c>
      <c r="B412" s="1" t="n">
        <v>44393</v>
      </c>
      <c r="C412" s="1" t="n">
        <v>45227</v>
      </c>
      <c r="D412" t="inlineStr">
        <is>
          <t>VÄSTRA GÖTALANDS LÄN</t>
        </is>
      </c>
      <c r="E412" t="inlineStr">
        <is>
          <t>MARK</t>
        </is>
      </c>
      <c r="G412" t="n">
        <v>2.3</v>
      </c>
      <c r="H412" t="n">
        <v>0</v>
      </c>
      <c r="I412" t="n">
        <v>1</v>
      </c>
      <c r="J412" t="n">
        <v>0</v>
      </c>
      <c r="K412" t="n">
        <v>0</v>
      </c>
      <c r="L412" t="n">
        <v>0</v>
      </c>
      <c r="M412" t="n">
        <v>0</v>
      </c>
      <c r="N412" t="n">
        <v>0</v>
      </c>
      <c r="O412" t="n">
        <v>0</v>
      </c>
      <c r="P412" t="n">
        <v>0</v>
      </c>
      <c r="Q412" t="n">
        <v>1</v>
      </c>
      <c r="R412" s="2" t="inlineStr">
        <is>
          <t>Dropptaggsvamp</t>
        </is>
      </c>
      <c r="S412">
        <f>HYPERLINK("https://klasma.github.io/Logging_1463/artfynd/A 36840-2021 artfynd.xlsx", "A 36840-2021")</f>
        <v/>
      </c>
      <c r="T412">
        <f>HYPERLINK("https://klasma.github.io/Logging_1463/kartor/A 36840-2021 karta.png", "A 36840-2021")</f>
        <v/>
      </c>
      <c r="V412">
        <f>HYPERLINK("https://klasma.github.io/Logging_1463/klagomål/A 36840-2021 FSC-klagomål.docx", "A 36840-2021")</f>
        <v/>
      </c>
      <c r="W412">
        <f>HYPERLINK("https://klasma.github.io/Logging_1463/klagomålsmail/A 36840-2021 FSC-klagomål mail.docx", "A 36840-2021")</f>
        <v/>
      </c>
      <c r="X412">
        <f>HYPERLINK("https://klasma.github.io/Logging_1463/tillsyn/A 36840-2021 tillsynsbegäran.docx", "A 36840-2021")</f>
        <v/>
      </c>
      <c r="Y412">
        <f>HYPERLINK("https://klasma.github.io/Logging_1463/tillsynsmail/A 36840-2021 tillsynsbegäran mail.docx", "A 36840-2021")</f>
        <v/>
      </c>
    </row>
    <row r="413" ht="15" customHeight="1">
      <c r="A413" t="inlineStr">
        <is>
          <t>A 39846-2021</t>
        </is>
      </c>
      <c r="B413" s="1" t="n">
        <v>44417</v>
      </c>
      <c r="C413" s="1" t="n">
        <v>45227</v>
      </c>
      <c r="D413" t="inlineStr">
        <is>
          <t>VÄSTRA GÖTALANDS LÄN</t>
        </is>
      </c>
      <c r="E413" t="inlineStr">
        <is>
          <t>MARK</t>
        </is>
      </c>
      <c r="G413" t="n">
        <v>5.1</v>
      </c>
      <c r="H413" t="n">
        <v>1</v>
      </c>
      <c r="I413" t="n">
        <v>0</v>
      </c>
      <c r="J413" t="n">
        <v>0</v>
      </c>
      <c r="K413" t="n">
        <v>0</v>
      </c>
      <c r="L413" t="n">
        <v>0</v>
      </c>
      <c r="M413" t="n">
        <v>0</v>
      </c>
      <c r="N413" t="n">
        <v>0</v>
      </c>
      <c r="O413" t="n">
        <v>0</v>
      </c>
      <c r="P413" t="n">
        <v>0</v>
      </c>
      <c r="Q413" t="n">
        <v>1</v>
      </c>
      <c r="R413" s="2" t="inlineStr">
        <is>
          <t>Vanlig groda</t>
        </is>
      </c>
      <c r="S413">
        <f>HYPERLINK("https://klasma.github.io/Logging_1463/artfynd/A 39846-2021 artfynd.xlsx", "A 39846-2021")</f>
        <v/>
      </c>
      <c r="T413">
        <f>HYPERLINK("https://klasma.github.io/Logging_1463/kartor/A 39846-2021 karta.png", "A 39846-2021")</f>
        <v/>
      </c>
      <c r="V413">
        <f>HYPERLINK("https://klasma.github.io/Logging_1463/klagomål/A 39846-2021 FSC-klagomål.docx", "A 39846-2021")</f>
        <v/>
      </c>
      <c r="W413">
        <f>HYPERLINK("https://klasma.github.io/Logging_1463/klagomålsmail/A 39846-2021 FSC-klagomål mail.docx", "A 39846-2021")</f>
        <v/>
      </c>
      <c r="X413">
        <f>HYPERLINK("https://klasma.github.io/Logging_1463/tillsyn/A 39846-2021 tillsynsbegäran.docx", "A 39846-2021")</f>
        <v/>
      </c>
      <c r="Y413">
        <f>HYPERLINK("https://klasma.github.io/Logging_1463/tillsynsmail/A 39846-2021 tillsynsbegäran mail.docx", "A 39846-2021")</f>
        <v/>
      </c>
    </row>
    <row r="414" ht="15" customHeight="1">
      <c r="A414" t="inlineStr">
        <is>
          <t>A 39804-2021</t>
        </is>
      </c>
      <c r="B414" s="1" t="n">
        <v>44417</v>
      </c>
      <c r="C414" s="1" t="n">
        <v>45227</v>
      </c>
      <c r="D414" t="inlineStr">
        <is>
          <t>VÄSTRA GÖTALANDS LÄN</t>
        </is>
      </c>
      <c r="E414" t="inlineStr">
        <is>
          <t>BENGTSFORS</t>
        </is>
      </c>
      <c r="G414" t="n">
        <v>4</v>
      </c>
      <c r="H414" t="n">
        <v>0</v>
      </c>
      <c r="I414" t="n">
        <v>1</v>
      </c>
      <c r="J414" t="n">
        <v>0</v>
      </c>
      <c r="K414" t="n">
        <v>0</v>
      </c>
      <c r="L414" t="n">
        <v>0</v>
      </c>
      <c r="M414" t="n">
        <v>0</v>
      </c>
      <c r="N414" t="n">
        <v>0</v>
      </c>
      <c r="O414" t="n">
        <v>0</v>
      </c>
      <c r="P414" t="n">
        <v>0</v>
      </c>
      <c r="Q414" t="n">
        <v>1</v>
      </c>
      <c r="R414" s="2" t="inlineStr">
        <is>
          <t>Kambräken</t>
        </is>
      </c>
      <c r="S414">
        <f>HYPERLINK("https://klasma.github.io/Logging_1460/artfynd/A 39804-2021 artfynd.xlsx", "A 39804-2021")</f>
        <v/>
      </c>
      <c r="T414">
        <f>HYPERLINK("https://klasma.github.io/Logging_1460/kartor/A 39804-2021 karta.png", "A 39804-2021")</f>
        <v/>
      </c>
      <c r="V414">
        <f>HYPERLINK("https://klasma.github.io/Logging_1460/klagomål/A 39804-2021 FSC-klagomål.docx", "A 39804-2021")</f>
        <v/>
      </c>
      <c r="W414">
        <f>HYPERLINK("https://klasma.github.io/Logging_1460/klagomålsmail/A 39804-2021 FSC-klagomål mail.docx", "A 39804-2021")</f>
        <v/>
      </c>
      <c r="X414">
        <f>HYPERLINK("https://klasma.github.io/Logging_1460/tillsyn/A 39804-2021 tillsynsbegäran.docx", "A 39804-2021")</f>
        <v/>
      </c>
      <c r="Y414">
        <f>HYPERLINK("https://klasma.github.io/Logging_1460/tillsynsmail/A 39804-2021 tillsynsbegäran mail.docx", "A 39804-2021")</f>
        <v/>
      </c>
    </row>
    <row r="415" ht="15" customHeight="1">
      <c r="A415" t="inlineStr">
        <is>
          <t>A 40547-2021</t>
        </is>
      </c>
      <c r="B415" s="1" t="n">
        <v>44420</v>
      </c>
      <c r="C415" s="1" t="n">
        <v>45227</v>
      </c>
      <c r="D415" t="inlineStr">
        <is>
          <t>VÄSTRA GÖTALANDS LÄN</t>
        </is>
      </c>
      <c r="E415" t="inlineStr">
        <is>
          <t>TIDAHOLM</t>
        </is>
      </c>
      <c r="G415" t="n">
        <v>1.3</v>
      </c>
      <c r="H415" t="n">
        <v>1</v>
      </c>
      <c r="I415" t="n">
        <v>0</v>
      </c>
      <c r="J415" t="n">
        <v>1</v>
      </c>
      <c r="K415" t="n">
        <v>0</v>
      </c>
      <c r="L415" t="n">
        <v>0</v>
      </c>
      <c r="M415" t="n">
        <v>0</v>
      </c>
      <c r="N415" t="n">
        <v>0</v>
      </c>
      <c r="O415" t="n">
        <v>1</v>
      </c>
      <c r="P415" t="n">
        <v>0</v>
      </c>
      <c r="Q415" t="n">
        <v>1</v>
      </c>
      <c r="R415" s="2" t="inlineStr">
        <is>
          <t>Entita</t>
        </is>
      </c>
      <c r="S415">
        <f>HYPERLINK("https://klasma.github.io/Logging_1498/artfynd/A 40547-2021 artfynd.xlsx", "A 40547-2021")</f>
        <v/>
      </c>
      <c r="T415">
        <f>HYPERLINK("https://klasma.github.io/Logging_1498/kartor/A 40547-2021 karta.png", "A 40547-2021")</f>
        <v/>
      </c>
      <c r="V415">
        <f>HYPERLINK("https://klasma.github.io/Logging_1498/klagomål/A 40547-2021 FSC-klagomål.docx", "A 40547-2021")</f>
        <v/>
      </c>
      <c r="W415">
        <f>HYPERLINK("https://klasma.github.io/Logging_1498/klagomålsmail/A 40547-2021 FSC-klagomål mail.docx", "A 40547-2021")</f>
        <v/>
      </c>
      <c r="X415">
        <f>HYPERLINK("https://klasma.github.io/Logging_1498/tillsyn/A 40547-2021 tillsynsbegäran.docx", "A 40547-2021")</f>
        <v/>
      </c>
      <c r="Y415">
        <f>HYPERLINK("https://klasma.github.io/Logging_1498/tillsynsmail/A 40547-2021 tillsynsbegäran mail.docx", "A 40547-2021")</f>
        <v/>
      </c>
    </row>
    <row r="416" ht="15" customHeight="1">
      <c r="A416" t="inlineStr">
        <is>
          <t>A 42509-2021</t>
        </is>
      </c>
      <c r="B416" s="1" t="n">
        <v>44427</v>
      </c>
      <c r="C416" s="1" t="n">
        <v>45227</v>
      </c>
      <c r="D416" t="inlineStr">
        <is>
          <t>VÄSTRA GÖTALANDS LÄN</t>
        </is>
      </c>
      <c r="E416" t="inlineStr">
        <is>
          <t>FALKÖPING</t>
        </is>
      </c>
      <c r="G416" t="n">
        <v>2.8</v>
      </c>
      <c r="H416" t="n">
        <v>0</v>
      </c>
      <c r="I416" t="n">
        <v>0</v>
      </c>
      <c r="J416" t="n">
        <v>0</v>
      </c>
      <c r="K416" t="n">
        <v>0</v>
      </c>
      <c r="L416" t="n">
        <v>1</v>
      </c>
      <c r="M416" t="n">
        <v>0</v>
      </c>
      <c r="N416" t="n">
        <v>0</v>
      </c>
      <c r="O416" t="n">
        <v>1</v>
      </c>
      <c r="P416" t="n">
        <v>1</v>
      </c>
      <c r="Q416" t="n">
        <v>1</v>
      </c>
      <c r="R416" s="2" t="inlineStr">
        <is>
          <t>Ask</t>
        </is>
      </c>
      <c r="S416">
        <f>HYPERLINK("https://klasma.github.io/Logging_1499/artfynd/A 42509-2021 artfynd.xlsx", "A 42509-2021")</f>
        <v/>
      </c>
      <c r="T416">
        <f>HYPERLINK("https://klasma.github.io/Logging_1499/kartor/A 42509-2021 karta.png", "A 42509-2021")</f>
        <v/>
      </c>
      <c r="V416">
        <f>HYPERLINK("https://klasma.github.io/Logging_1499/klagomål/A 42509-2021 FSC-klagomål.docx", "A 42509-2021")</f>
        <v/>
      </c>
      <c r="W416">
        <f>HYPERLINK("https://klasma.github.io/Logging_1499/klagomålsmail/A 42509-2021 FSC-klagomål mail.docx", "A 42509-2021")</f>
        <v/>
      </c>
      <c r="X416">
        <f>HYPERLINK("https://klasma.github.io/Logging_1499/tillsyn/A 42509-2021 tillsynsbegäran.docx", "A 42509-2021")</f>
        <v/>
      </c>
      <c r="Y416">
        <f>HYPERLINK("https://klasma.github.io/Logging_1499/tillsynsmail/A 42509-2021 tillsynsbegäran mail.docx", "A 42509-2021")</f>
        <v/>
      </c>
    </row>
    <row r="417" ht="15" customHeight="1">
      <c r="A417" t="inlineStr">
        <is>
          <t>A 44202-2021</t>
        </is>
      </c>
      <c r="B417" s="1" t="n">
        <v>44434</v>
      </c>
      <c r="C417" s="1" t="n">
        <v>45227</v>
      </c>
      <c r="D417" t="inlineStr">
        <is>
          <t>VÄSTRA GÖTALANDS LÄN</t>
        </is>
      </c>
      <c r="E417" t="inlineStr">
        <is>
          <t>BORÅS</t>
        </is>
      </c>
      <c r="G417" t="n">
        <v>3.1</v>
      </c>
      <c r="H417" t="n">
        <v>0</v>
      </c>
      <c r="I417" t="n">
        <v>1</v>
      </c>
      <c r="J417" t="n">
        <v>0</v>
      </c>
      <c r="K417" t="n">
        <v>0</v>
      </c>
      <c r="L417" t="n">
        <v>0</v>
      </c>
      <c r="M417" t="n">
        <v>0</v>
      </c>
      <c r="N417" t="n">
        <v>0</v>
      </c>
      <c r="O417" t="n">
        <v>0</v>
      </c>
      <c r="P417" t="n">
        <v>0</v>
      </c>
      <c r="Q417" t="n">
        <v>1</v>
      </c>
      <c r="R417" s="2" t="inlineStr">
        <is>
          <t>Vågbandad barkbock</t>
        </is>
      </c>
      <c r="S417">
        <f>HYPERLINK("https://klasma.github.io/Logging_1490/artfynd/A 44202-2021 artfynd.xlsx", "A 44202-2021")</f>
        <v/>
      </c>
      <c r="T417">
        <f>HYPERLINK("https://klasma.github.io/Logging_1490/kartor/A 44202-2021 karta.png", "A 44202-2021")</f>
        <v/>
      </c>
      <c r="V417">
        <f>HYPERLINK("https://klasma.github.io/Logging_1490/klagomål/A 44202-2021 FSC-klagomål.docx", "A 44202-2021")</f>
        <v/>
      </c>
      <c r="W417">
        <f>HYPERLINK("https://klasma.github.io/Logging_1490/klagomålsmail/A 44202-2021 FSC-klagomål mail.docx", "A 44202-2021")</f>
        <v/>
      </c>
      <c r="X417">
        <f>HYPERLINK("https://klasma.github.io/Logging_1490/tillsyn/A 44202-2021 tillsynsbegäran.docx", "A 44202-2021")</f>
        <v/>
      </c>
      <c r="Y417">
        <f>HYPERLINK("https://klasma.github.io/Logging_1490/tillsynsmail/A 44202-2021 tillsynsbegäran mail.docx", "A 44202-2021")</f>
        <v/>
      </c>
    </row>
    <row r="418" ht="15" customHeight="1">
      <c r="A418" t="inlineStr">
        <is>
          <t>A 45168-2021</t>
        </is>
      </c>
      <c r="B418" s="1" t="n">
        <v>44439</v>
      </c>
      <c r="C418" s="1" t="n">
        <v>45227</v>
      </c>
      <c r="D418" t="inlineStr">
        <is>
          <t>VÄSTRA GÖTALANDS LÄN</t>
        </is>
      </c>
      <c r="E418" t="inlineStr">
        <is>
          <t>TÖREBODA</t>
        </is>
      </c>
      <c r="G418" t="n">
        <v>4.8</v>
      </c>
      <c r="H418" t="n">
        <v>1</v>
      </c>
      <c r="I418" t="n">
        <v>0</v>
      </c>
      <c r="J418" t="n">
        <v>0</v>
      </c>
      <c r="K418" t="n">
        <v>0</v>
      </c>
      <c r="L418" t="n">
        <v>0</v>
      </c>
      <c r="M418" t="n">
        <v>0</v>
      </c>
      <c r="N418" t="n">
        <v>0</v>
      </c>
      <c r="O418" t="n">
        <v>0</v>
      </c>
      <c r="P418" t="n">
        <v>0</v>
      </c>
      <c r="Q418" t="n">
        <v>1</v>
      </c>
      <c r="R418" s="2" t="inlineStr">
        <is>
          <t>Grönvit nattviol</t>
        </is>
      </c>
      <c r="S418">
        <f>HYPERLINK("https://klasma.github.io/Logging_1473/artfynd/A 45168-2021 artfynd.xlsx", "A 45168-2021")</f>
        <v/>
      </c>
      <c r="T418">
        <f>HYPERLINK("https://klasma.github.io/Logging_1473/kartor/A 45168-2021 karta.png", "A 45168-2021")</f>
        <v/>
      </c>
      <c r="V418">
        <f>HYPERLINK("https://klasma.github.io/Logging_1473/klagomål/A 45168-2021 FSC-klagomål.docx", "A 45168-2021")</f>
        <v/>
      </c>
      <c r="W418">
        <f>HYPERLINK("https://klasma.github.io/Logging_1473/klagomålsmail/A 45168-2021 FSC-klagomål mail.docx", "A 45168-2021")</f>
        <v/>
      </c>
      <c r="X418">
        <f>HYPERLINK("https://klasma.github.io/Logging_1473/tillsyn/A 45168-2021 tillsynsbegäran.docx", "A 45168-2021")</f>
        <v/>
      </c>
      <c r="Y418">
        <f>HYPERLINK("https://klasma.github.io/Logging_1473/tillsynsmail/A 45168-2021 tillsynsbegäran mail.docx", "A 45168-2021")</f>
        <v/>
      </c>
    </row>
    <row r="419" ht="15" customHeight="1">
      <c r="A419" t="inlineStr">
        <is>
          <t>A 47082-2021</t>
        </is>
      </c>
      <c r="B419" s="1" t="n">
        <v>44446</v>
      </c>
      <c r="C419" s="1" t="n">
        <v>45227</v>
      </c>
      <c r="D419" t="inlineStr">
        <is>
          <t>VÄSTRA GÖTALANDS LÄN</t>
        </is>
      </c>
      <c r="E419" t="inlineStr">
        <is>
          <t>BENGTSFORS</t>
        </is>
      </c>
      <c r="G419" t="n">
        <v>2.6</v>
      </c>
      <c r="H419" t="n">
        <v>1</v>
      </c>
      <c r="I419" t="n">
        <v>0</v>
      </c>
      <c r="J419" t="n">
        <v>0</v>
      </c>
      <c r="K419" t="n">
        <v>0</v>
      </c>
      <c r="L419" t="n">
        <v>0</v>
      </c>
      <c r="M419" t="n">
        <v>0</v>
      </c>
      <c r="N419" t="n">
        <v>0</v>
      </c>
      <c r="O419" t="n">
        <v>0</v>
      </c>
      <c r="P419" t="n">
        <v>0</v>
      </c>
      <c r="Q419" t="n">
        <v>1</v>
      </c>
      <c r="R419" s="2" t="inlineStr">
        <is>
          <t>Revlummer</t>
        </is>
      </c>
      <c r="S419">
        <f>HYPERLINK("https://klasma.github.io/Logging_1460/artfynd/A 47082-2021 artfynd.xlsx", "A 47082-2021")</f>
        <v/>
      </c>
      <c r="T419">
        <f>HYPERLINK("https://klasma.github.io/Logging_1460/kartor/A 47082-2021 karta.png", "A 47082-2021")</f>
        <v/>
      </c>
      <c r="V419">
        <f>HYPERLINK("https://klasma.github.io/Logging_1460/klagomål/A 47082-2021 FSC-klagomål.docx", "A 47082-2021")</f>
        <v/>
      </c>
      <c r="W419">
        <f>HYPERLINK("https://klasma.github.io/Logging_1460/klagomålsmail/A 47082-2021 FSC-klagomål mail.docx", "A 47082-2021")</f>
        <v/>
      </c>
      <c r="X419">
        <f>HYPERLINK("https://klasma.github.io/Logging_1460/tillsyn/A 47082-2021 tillsynsbegäran.docx", "A 47082-2021")</f>
        <v/>
      </c>
      <c r="Y419">
        <f>HYPERLINK("https://klasma.github.io/Logging_1460/tillsynsmail/A 47082-2021 tillsynsbegäran mail.docx", "A 47082-2021")</f>
        <v/>
      </c>
    </row>
    <row r="420" ht="15" customHeight="1">
      <c r="A420" t="inlineStr">
        <is>
          <t>A 48150-2021</t>
        </is>
      </c>
      <c r="B420" s="1" t="n">
        <v>44449</v>
      </c>
      <c r="C420" s="1" t="n">
        <v>45227</v>
      </c>
      <c r="D420" t="inlineStr">
        <is>
          <t>VÄSTRA GÖTALANDS LÄN</t>
        </is>
      </c>
      <c r="E420" t="inlineStr">
        <is>
          <t>ULRICEHAMN</t>
        </is>
      </c>
      <c r="F420" t="inlineStr">
        <is>
          <t>Sveaskog</t>
        </is>
      </c>
      <c r="G420" t="n">
        <v>0.4</v>
      </c>
      <c r="H420" t="n">
        <v>0</v>
      </c>
      <c r="I420" t="n">
        <v>0</v>
      </c>
      <c r="J420" t="n">
        <v>0</v>
      </c>
      <c r="K420" t="n">
        <v>0</v>
      </c>
      <c r="L420" t="n">
        <v>1</v>
      </c>
      <c r="M420" t="n">
        <v>0</v>
      </c>
      <c r="N420" t="n">
        <v>0</v>
      </c>
      <c r="O420" t="n">
        <v>1</v>
      </c>
      <c r="P420" t="n">
        <v>1</v>
      </c>
      <c r="Q420" t="n">
        <v>1</v>
      </c>
      <c r="R420" s="2" t="inlineStr">
        <is>
          <t>Ask</t>
        </is>
      </c>
      <c r="S420">
        <f>HYPERLINK("https://klasma.github.io/Logging_1491/artfynd/A 48150-2021 artfynd.xlsx", "A 48150-2021")</f>
        <v/>
      </c>
      <c r="T420">
        <f>HYPERLINK("https://klasma.github.io/Logging_1491/kartor/A 48150-2021 karta.png", "A 48150-2021")</f>
        <v/>
      </c>
      <c r="V420">
        <f>HYPERLINK("https://klasma.github.io/Logging_1491/klagomål/A 48150-2021 FSC-klagomål.docx", "A 48150-2021")</f>
        <v/>
      </c>
      <c r="W420">
        <f>HYPERLINK("https://klasma.github.io/Logging_1491/klagomålsmail/A 48150-2021 FSC-klagomål mail.docx", "A 48150-2021")</f>
        <v/>
      </c>
      <c r="X420">
        <f>HYPERLINK("https://klasma.github.io/Logging_1491/tillsyn/A 48150-2021 tillsynsbegäran.docx", "A 48150-2021")</f>
        <v/>
      </c>
      <c r="Y420">
        <f>HYPERLINK("https://klasma.github.io/Logging_1491/tillsynsmail/A 48150-2021 tillsynsbegäran mail.docx", "A 48150-2021")</f>
        <v/>
      </c>
    </row>
    <row r="421" ht="15" customHeight="1">
      <c r="A421" t="inlineStr">
        <is>
          <t>A 48330-2021</t>
        </is>
      </c>
      <c r="B421" s="1" t="n">
        <v>44450</v>
      </c>
      <c r="C421" s="1" t="n">
        <v>45227</v>
      </c>
      <c r="D421" t="inlineStr">
        <is>
          <t>VÄSTRA GÖTALANDS LÄN</t>
        </is>
      </c>
      <c r="E421" t="inlineStr">
        <is>
          <t>ÅMÅL</t>
        </is>
      </c>
      <c r="G421" t="n">
        <v>1.9</v>
      </c>
      <c r="H421" t="n">
        <v>1</v>
      </c>
      <c r="I421" t="n">
        <v>0</v>
      </c>
      <c r="J421" t="n">
        <v>0</v>
      </c>
      <c r="K421" t="n">
        <v>0</v>
      </c>
      <c r="L421" t="n">
        <v>0</v>
      </c>
      <c r="M421" t="n">
        <v>0</v>
      </c>
      <c r="N421" t="n">
        <v>0</v>
      </c>
      <c r="O421" t="n">
        <v>0</v>
      </c>
      <c r="P421" t="n">
        <v>0</v>
      </c>
      <c r="Q421" t="n">
        <v>1</v>
      </c>
      <c r="R421" s="2" t="inlineStr">
        <is>
          <t>Skogsödla</t>
        </is>
      </c>
      <c r="S421">
        <f>HYPERLINK("https://klasma.github.io/Logging_1492/artfynd/A 48330-2021 artfynd.xlsx", "A 48330-2021")</f>
        <v/>
      </c>
      <c r="T421">
        <f>HYPERLINK("https://klasma.github.io/Logging_1492/kartor/A 48330-2021 karta.png", "A 48330-2021")</f>
        <v/>
      </c>
      <c r="V421">
        <f>HYPERLINK("https://klasma.github.io/Logging_1492/klagomål/A 48330-2021 FSC-klagomål.docx", "A 48330-2021")</f>
        <v/>
      </c>
      <c r="W421">
        <f>HYPERLINK("https://klasma.github.io/Logging_1492/klagomålsmail/A 48330-2021 FSC-klagomål mail.docx", "A 48330-2021")</f>
        <v/>
      </c>
      <c r="X421">
        <f>HYPERLINK("https://klasma.github.io/Logging_1492/tillsyn/A 48330-2021 tillsynsbegäran.docx", "A 48330-2021")</f>
        <v/>
      </c>
      <c r="Y421">
        <f>HYPERLINK("https://klasma.github.io/Logging_1492/tillsynsmail/A 48330-2021 tillsynsbegäran mail.docx", "A 48330-2021")</f>
        <v/>
      </c>
    </row>
    <row r="422" ht="15" customHeight="1">
      <c r="A422" t="inlineStr">
        <is>
          <t>A 50555-2021</t>
        </is>
      </c>
      <c r="B422" s="1" t="n">
        <v>44455</v>
      </c>
      <c r="C422" s="1" t="n">
        <v>45227</v>
      </c>
      <c r="D422" t="inlineStr">
        <is>
          <t>VÄSTRA GÖTALANDS LÄN</t>
        </is>
      </c>
      <c r="E422" t="inlineStr">
        <is>
          <t>ULRICEHAMN</t>
        </is>
      </c>
      <c r="G422" t="n">
        <v>1.5</v>
      </c>
      <c r="H422" t="n">
        <v>0</v>
      </c>
      <c r="I422" t="n">
        <v>0</v>
      </c>
      <c r="J422" t="n">
        <v>0</v>
      </c>
      <c r="K422" t="n">
        <v>0</v>
      </c>
      <c r="L422" t="n">
        <v>1</v>
      </c>
      <c r="M422" t="n">
        <v>0</v>
      </c>
      <c r="N422" t="n">
        <v>0</v>
      </c>
      <c r="O422" t="n">
        <v>1</v>
      </c>
      <c r="P422" t="n">
        <v>1</v>
      </c>
      <c r="Q422" t="n">
        <v>1</v>
      </c>
      <c r="R422" s="2" t="inlineStr">
        <is>
          <t>Ask</t>
        </is>
      </c>
      <c r="S422">
        <f>HYPERLINK("https://klasma.github.io/Logging_1491/artfynd/A 50555-2021 artfynd.xlsx", "A 50555-2021")</f>
        <v/>
      </c>
      <c r="T422">
        <f>HYPERLINK("https://klasma.github.io/Logging_1491/kartor/A 50555-2021 karta.png", "A 50555-2021")</f>
        <v/>
      </c>
      <c r="V422">
        <f>HYPERLINK("https://klasma.github.io/Logging_1491/klagomål/A 50555-2021 FSC-klagomål.docx", "A 50555-2021")</f>
        <v/>
      </c>
      <c r="W422">
        <f>HYPERLINK("https://klasma.github.io/Logging_1491/klagomålsmail/A 50555-2021 FSC-klagomål mail.docx", "A 50555-2021")</f>
        <v/>
      </c>
      <c r="X422">
        <f>HYPERLINK("https://klasma.github.io/Logging_1491/tillsyn/A 50555-2021 tillsynsbegäran.docx", "A 50555-2021")</f>
        <v/>
      </c>
      <c r="Y422">
        <f>HYPERLINK("https://klasma.github.io/Logging_1491/tillsynsmail/A 50555-2021 tillsynsbegäran mail.docx", "A 50555-2021")</f>
        <v/>
      </c>
    </row>
    <row r="423" ht="15" customHeight="1">
      <c r="A423" t="inlineStr">
        <is>
          <t>A 50318-2021</t>
        </is>
      </c>
      <c r="B423" s="1" t="n">
        <v>44459</v>
      </c>
      <c r="C423" s="1" t="n">
        <v>45227</v>
      </c>
      <c r="D423" t="inlineStr">
        <is>
          <t>VÄSTRA GÖTALANDS LÄN</t>
        </is>
      </c>
      <c r="E423" t="inlineStr">
        <is>
          <t>SKARA</t>
        </is>
      </c>
      <c r="G423" t="n">
        <v>0.8</v>
      </c>
      <c r="H423" t="n">
        <v>1</v>
      </c>
      <c r="I423" t="n">
        <v>0</v>
      </c>
      <c r="J423" t="n">
        <v>0</v>
      </c>
      <c r="K423" t="n">
        <v>1</v>
      </c>
      <c r="L423" t="n">
        <v>0</v>
      </c>
      <c r="M423" t="n">
        <v>0</v>
      </c>
      <c r="N423" t="n">
        <v>0</v>
      </c>
      <c r="O423" t="n">
        <v>1</v>
      </c>
      <c r="P423" t="n">
        <v>1</v>
      </c>
      <c r="Q423" t="n">
        <v>1</v>
      </c>
      <c r="R423" s="2" t="inlineStr">
        <is>
          <t>Knärot</t>
        </is>
      </c>
      <c r="S423">
        <f>HYPERLINK("https://klasma.github.io/Logging_1495/artfynd/A 50318-2021 artfynd.xlsx", "A 50318-2021")</f>
        <v/>
      </c>
      <c r="T423">
        <f>HYPERLINK("https://klasma.github.io/Logging_1495/kartor/A 50318-2021 karta.png", "A 50318-2021")</f>
        <v/>
      </c>
      <c r="U423">
        <f>HYPERLINK("https://klasma.github.io/Logging_1495/knärot/A 50318-2021 karta knärot.png", "A 50318-2021")</f>
        <v/>
      </c>
      <c r="V423">
        <f>HYPERLINK("https://klasma.github.io/Logging_1495/klagomål/A 50318-2021 FSC-klagomål.docx", "A 50318-2021")</f>
        <v/>
      </c>
      <c r="W423">
        <f>HYPERLINK("https://klasma.github.io/Logging_1495/klagomålsmail/A 50318-2021 FSC-klagomål mail.docx", "A 50318-2021")</f>
        <v/>
      </c>
      <c r="X423">
        <f>HYPERLINK("https://klasma.github.io/Logging_1495/tillsyn/A 50318-2021 tillsynsbegäran.docx", "A 50318-2021")</f>
        <v/>
      </c>
      <c r="Y423">
        <f>HYPERLINK("https://klasma.github.io/Logging_1495/tillsynsmail/A 50318-2021 tillsynsbegäran mail.docx", "A 50318-2021")</f>
        <v/>
      </c>
    </row>
    <row r="424" ht="15" customHeight="1">
      <c r="A424" t="inlineStr">
        <is>
          <t>A 53156-2021</t>
        </is>
      </c>
      <c r="B424" s="1" t="n">
        <v>44468</v>
      </c>
      <c r="C424" s="1" t="n">
        <v>45227</v>
      </c>
      <c r="D424" t="inlineStr">
        <is>
          <t>VÄSTRA GÖTALANDS LÄN</t>
        </is>
      </c>
      <c r="E424" t="inlineStr">
        <is>
          <t>STENUNGSUND</t>
        </is>
      </c>
      <c r="G424" t="n">
        <v>10.4</v>
      </c>
      <c r="H424" t="n">
        <v>1</v>
      </c>
      <c r="I424" t="n">
        <v>0</v>
      </c>
      <c r="J424" t="n">
        <v>0</v>
      </c>
      <c r="K424" t="n">
        <v>1</v>
      </c>
      <c r="L424" t="n">
        <v>0</v>
      </c>
      <c r="M424" t="n">
        <v>0</v>
      </c>
      <c r="N424" t="n">
        <v>0</v>
      </c>
      <c r="O424" t="n">
        <v>1</v>
      </c>
      <c r="P424" t="n">
        <v>1</v>
      </c>
      <c r="Q424" t="n">
        <v>1</v>
      </c>
      <c r="R424" s="2" t="inlineStr">
        <is>
          <t>Knärot</t>
        </is>
      </c>
      <c r="S424">
        <f>HYPERLINK("https://klasma.github.io/Logging_1415/artfynd/A 53156-2021 artfynd.xlsx", "A 53156-2021")</f>
        <v/>
      </c>
      <c r="T424">
        <f>HYPERLINK("https://klasma.github.io/Logging_1415/kartor/A 53156-2021 karta.png", "A 53156-2021")</f>
        <v/>
      </c>
      <c r="U424">
        <f>HYPERLINK("https://klasma.github.io/Logging_1415/knärot/A 53156-2021 karta knärot.png", "A 53156-2021")</f>
        <v/>
      </c>
      <c r="V424">
        <f>HYPERLINK("https://klasma.github.io/Logging_1415/klagomål/A 53156-2021 FSC-klagomål.docx", "A 53156-2021")</f>
        <v/>
      </c>
      <c r="W424">
        <f>HYPERLINK("https://klasma.github.io/Logging_1415/klagomålsmail/A 53156-2021 FSC-klagomål mail.docx", "A 53156-2021")</f>
        <v/>
      </c>
      <c r="X424">
        <f>HYPERLINK("https://klasma.github.io/Logging_1415/tillsyn/A 53156-2021 tillsynsbegäran.docx", "A 53156-2021")</f>
        <v/>
      </c>
      <c r="Y424">
        <f>HYPERLINK("https://klasma.github.io/Logging_1415/tillsynsmail/A 53156-2021 tillsynsbegäran mail.docx", "A 53156-2021")</f>
        <v/>
      </c>
    </row>
    <row r="425" ht="15" customHeight="1">
      <c r="A425" t="inlineStr">
        <is>
          <t>A 53203-2021</t>
        </is>
      </c>
      <c r="B425" s="1" t="n">
        <v>44468</v>
      </c>
      <c r="C425" s="1" t="n">
        <v>45227</v>
      </c>
      <c r="D425" t="inlineStr">
        <is>
          <t>VÄSTRA GÖTALANDS LÄN</t>
        </is>
      </c>
      <c r="E425" t="inlineStr">
        <is>
          <t>HÄRRYDA</t>
        </is>
      </c>
      <c r="G425" t="n">
        <v>1.3</v>
      </c>
      <c r="H425" t="n">
        <v>0</v>
      </c>
      <c r="I425" t="n">
        <v>1</v>
      </c>
      <c r="J425" t="n">
        <v>0</v>
      </c>
      <c r="K425" t="n">
        <v>0</v>
      </c>
      <c r="L425" t="n">
        <v>0</v>
      </c>
      <c r="M425" t="n">
        <v>0</v>
      </c>
      <c r="N425" t="n">
        <v>0</v>
      </c>
      <c r="O425" t="n">
        <v>0</v>
      </c>
      <c r="P425" t="n">
        <v>0</v>
      </c>
      <c r="Q425" t="n">
        <v>1</v>
      </c>
      <c r="R425" s="2" t="inlineStr">
        <is>
          <t>Stor revmossa</t>
        </is>
      </c>
      <c r="S425">
        <f>HYPERLINK("https://klasma.github.io/Logging_1401/artfynd/A 53203-2021 artfynd.xlsx", "A 53203-2021")</f>
        <v/>
      </c>
      <c r="T425">
        <f>HYPERLINK("https://klasma.github.io/Logging_1401/kartor/A 53203-2021 karta.png", "A 53203-2021")</f>
        <v/>
      </c>
      <c r="V425">
        <f>HYPERLINK("https://klasma.github.io/Logging_1401/klagomål/A 53203-2021 FSC-klagomål.docx", "A 53203-2021")</f>
        <v/>
      </c>
      <c r="W425">
        <f>HYPERLINK("https://klasma.github.io/Logging_1401/klagomålsmail/A 53203-2021 FSC-klagomål mail.docx", "A 53203-2021")</f>
        <v/>
      </c>
      <c r="X425">
        <f>HYPERLINK("https://klasma.github.io/Logging_1401/tillsyn/A 53203-2021 tillsynsbegäran.docx", "A 53203-2021")</f>
        <v/>
      </c>
      <c r="Y425">
        <f>HYPERLINK("https://klasma.github.io/Logging_1401/tillsynsmail/A 53203-2021 tillsynsbegäran mail.docx", "A 53203-2021")</f>
        <v/>
      </c>
    </row>
    <row r="426" ht="15" customHeight="1">
      <c r="A426" t="inlineStr">
        <is>
          <t>A 55075-2021</t>
        </is>
      </c>
      <c r="B426" s="1" t="n">
        <v>44474</v>
      </c>
      <c r="C426" s="1" t="n">
        <v>45227</v>
      </c>
      <c r="D426" t="inlineStr">
        <is>
          <t>VÄSTRA GÖTALANDS LÄN</t>
        </is>
      </c>
      <c r="E426" t="inlineStr">
        <is>
          <t>FALKÖPING</t>
        </is>
      </c>
      <c r="G426" t="n">
        <v>4.2</v>
      </c>
      <c r="H426" t="n">
        <v>0</v>
      </c>
      <c r="I426" t="n">
        <v>0</v>
      </c>
      <c r="J426" t="n">
        <v>0</v>
      </c>
      <c r="K426" t="n">
        <v>1</v>
      </c>
      <c r="L426" t="n">
        <v>0</v>
      </c>
      <c r="M426" t="n">
        <v>0</v>
      </c>
      <c r="N426" t="n">
        <v>0</v>
      </c>
      <c r="O426" t="n">
        <v>1</v>
      </c>
      <c r="P426" t="n">
        <v>1</v>
      </c>
      <c r="Q426" t="n">
        <v>1</v>
      </c>
      <c r="R426" s="2" t="inlineStr">
        <is>
          <t>Taggfingersvamp</t>
        </is>
      </c>
      <c r="S426">
        <f>HYPERLINK("https://klasma.github.io/Logging_1499/artfynd/A 55075-2021 artfynd.xlsx", "A 55075-2021")</f>
        <v/>
      </c>
      <c r="T426">
        <f>HYPERLINK("https://klasma.github.io/Logging_1499/kartor/A 55075-2021 karta.png", "A 55075-2021")</f>
        <v/>
      </c>
      <c r="V426">
        <f>HYPERLINK("https://klasma.github.io/Logging_1499/klagomål/A 55075-2021 FSC-klagomål.docx", "A 55075-2021")</f>
        <v/>
      </c>
      <c r="W426">
        <f>HYPERLINK("https://klasma.github.io/Logging_1499/klagomålsmail/A 55075-2021 FSC-klagomål mail.docx", "A 55075-2021")</f>
        <v/>
      </c>
      <c r="X426">
        <f>HYPERLINK("https://klasma.github.io/Logging_1499/tillsyn/A 55075-2021 tillsynsbegäran.docx", "A 55075-2021")</f>
        <v/>
      </c>
      <c r="Y426">
        <f>HYPERLINK("https://klasma.github.io/Logging_1499/tillsynsmail/A 55075-2021 tillsynsbegäran mail.docx", "A 55075-2021")</f>
        <v/>
      </c>
    </row>
    <row r="427" ht="15" customHeight="1">
      <c r="A427" t="inlineStr">
        <is>
          <t>A 59679-2021</t>
        </is>
      </c>
      <c r="B427" s="1" t="n">
        <v>44494</v>
      </c>
      <c r="C427" s="1" t="n">
        <v>45227</v>
      </c>
      <c r="D427" t="inlineStr">
        <is>
          <t>VÄSTRA GÖTALANDS LÄN</t>
        </is>
      </c>
      <c r="E427" t="inlineStr">
        <is>
          <t>SKARA</t>
        </is>
      </c>
      <c r="G427" t="n">
        <v>15</v>
      </c>
      <c r="H427" t="n">
        <v>1</v>
      </c>
      <c r="I427" t="n">
        <v>0</v>
      </c>
      <c r="J427" t="n">
        <v>0</v>
      </c>
      <c r="K427" t="n">
        <v>1</v>
      </c>
      <c r="L427" t="n">
        <v>0</v>
      </c>
      <c r="M427" t="n">
        <v>0</v>
      </c>
      <c r="N427" t="n">
        <v>0</v>
      </c>
      <c r="O427" t="n">
        <v>1</v>
      </c>
      <c r="P427" t="n">
        <v>1</v>
      </c>
      <c r="Q427" t="n">
        <v>1</v>
      </c>
      <c r="R427" s="2" t="inlineStr">
        <is>
          <t>Backsvala</t>
        </is>
      </c>
      <c r="S427">
        <f>HYPERLINK("https://klasma.github.io/Logging_1495/artfynd/A 59679-2021 artfynd.xlsx", "A 59679-2021")</f>
        <v/>
      </c>
      <c r="T427">
        <f>HYPERLINK("https://klasma.github.io/Logging_1495/kartor/A 59679-2021 karta.png", "A 59679-2021")</f>
        <v/>
      </c>
      <c r="V427">
        <f>HYPERLINK("https://klasma.github.io/Logging_1495/klagomål/A 59679-2021 FSC-klagomål.docx", "A 59679-2021")</f>
        <v/>
      </c>
      <c r="W427">
        <f>HYPERLINK("https://klasma.github.io/Logging_1495/klagomålsmail/A 59679-2021 FSC-klagomål mail.docx", "A 59679-2021")</f>
        <v/>
      </c>
      <c r="X427">
        <f>HYPERLINK("https://klasma.github.io/Logging_1495/tillsyn/A 59679-2021 tillsynsbegäran.docx", "A 59679-2021")</f>
        <v/>
      </c>
      <c r="Y427">
        <f>HYPERLINK("https://klasma.github.io/Logging_1495/tillsynsmail/A 59679-2021 tillsynsbegäran mail.docx", "A 59679-2021")</f>
        <v/>
      </c>
    </row>
    <row r="428" ht="15" customHeight="1">
      <c r="A428" t="inlineStr">
        <is>
          <t>A 60172-2021</t>
        </is>
      </c>
      <c r="B428" s="1" t="n">
        <v>44495</v>
      </c>
      <c r="C428" s="1" t="n">
        <v>45227</v>
      </c>
      <c r="D428" t="inlineStr">
        <is>
          <t>VÄSTRA GÖTALANDS LÄN</t>
        </is>
      </c>
      <c r="E428" t="inlineStr">
        <is>
          <t>SKÖVDE</t>
        </is>
      </c>
      <c r="G428" t="n">
        <v>1.4</v>
      </c>
      <c r="H428" t="n">
        <v>1</v>
      </c>
      <c r="I428" t="n">
        <v>0</v>
      </c>
      <c r="J428" t="n">
        <v>0</v>
      </c>
      <c r="K428" t="n">
        <v>0</v>
      </c>
      <c r="L428" t="n">
        <v>0</v>
      </c>
      <c r="M428" t="n">
        <v>0</v>
      </c>
      <c r="N428" t="n">
        <v>0</v>
      </c>
      <c r="O428" t="n">
        <v>0</v>
      </c>
      <c r="P428" t="n">
        <v>0</v>
      </c>
      <c r="Q428" t="n">
        <v>1</v>
      </c>
      <c r="R428" s="2" t="inlineStr">
        <is>
          <t>Fläcknycklar</t>
        </is>
      </c>
      <c r="S428">
        <f>HYPERLINK("https://klasma.github.io/Logging_1496/artfynd/A 60172-2021 artfynd.xlsx", "A 60172-2021")</f>
        <v/>
      </c>
      <c r="T428">
        <f>HYPERLINK("https://klasma.github.io/Logging_1496/kartor/A 60172-2021 karta.png", "A 60172-2021")</f>
        <v/>
      </c>
      <c r="V428">
        <f>HYPERLINK("https://klasma.github.io/Logging_1496/klagomål/A 60172-2021 FSC-klagomål.docx", "A 60172-2021")</f>
        <v/>
      </c>
      <c r="W428">
        <f>HYPERLINK("https://klasma.github.io/Logging_1496/klagomålsmail/A 60172-2021 FSC-klagomål mail.docx", "A 60172-2021")</f>
        <v/>
      </c>
      <c r="X428">
        <f>HYPERLINK("https://klasma.github.io/Logging_1496/tillsyn/A 60172-2021 tillsynsbegäran.docx", "A 60172-2021")</f>
        <v/>
      </c>
      <c r="Y428">
        <f>HYPERLINK("https://klasma.github.io/Logging_1496/tillsynsmail/A 60172-2021 tillsynsbegäran mail.docx", "A 60172-2021")</f>
        <v/>
      </c>
    </row>
    <row r="429" ht="15" customHeight="1">
      <c r="A429" t="inlineStr">
        <is>
          <t>A 63729-2021</t>
        </is>
      </c>
      <c r="B429" s="1" t="n">
        <v>44508</v>
      </c>
      <c r="C429" s="1" t="n">
        <v>45227</v>
      </c>
      <c r="D429" t="inlineStr">
        <is>
          <t>VÄSTRA GÖTALANDS LÄN</t>
        </is>
      </c>
      <c r="E429" t="inlineStr">
        <is>
          <t>BENGTSFORS</t>
        </is>
      </c>
      <c r="G429" t="n">
        <v>5</v>
      </c>
      <c r="H429" t="n">
        <v>0</v>
      </c>
      <c r="I429" t="n">
        <v>1</v>
      </c>
      <c r="J429" t="n">
        <v>0</v>
      </c>
      <c r="K429" t="n">
        <v>0</v>
      </c>
      <c r="L429" t="n">
        <v>0</v>
      </c>
      <c r="M429" t="n">
        <v>0</v>
      </c>
      <c r="N429" t="n">
        <v>0</v>
      </c>
      <c r="O429" t="n">
        <v>0</v>
      </c>
      <c r="P429" t="n">
        <v>0</v>
      </c>
      <c r="Q429" t="n">
        <v>1</v>
      </c>
      <c r="R429" s="2" t="inlineStr">
        <is>
          <t>Grönpyrola</t>
        </is>
      </c>
      <c r="S429">
        <f>HYPERLINK("https://klasma.github.io/Logging_1460/artfynd/A 63729-2021 artfynd.xlsx", "A 63729-2021")</f>
        <v/>
      </c>
      <c r="T429">
        <f>HYPERLINK("https://klasma.github.io/Logging_1460/kartor/A 63729-2021 karta.png", "A 63729-2021")</f>
        <v/>
      </c>
      <c r="V429">
        <f>HYPERLINK("https://klasma.github.io/Logging_1460/klagomål/A 63729-2021 FSC-klagomål.docx", "A 63729-2021")</f>
        <v/>
      </c>
      <c r="W429">
        <f>HYPERLINK("https://klasma.github.io/Logging_1460/klagomålsmail/A 63729-2021 FSC-klagomål mail.docx", "A 63729-2021")</f>
        <v/>
      </c>
      <c r="X429">
        <f>HYPERLINK("https://klasma.github.io/Logging_1460/tillsyn/A 63729-2021 tillsynsbegäran.docx", "A 63729-2021")</f>
        <v/>
      </c>
      <c r="Y429">
        <f>HYPERLINK("https://klasma.github.io/Logging_1460/tillsynsmail/A 63729-2021 tillsynsbegäran mail.docx", "A 63729-2021")</f>
        <v/>
      </c>
    </row>
    <row r="430" ht="15" customHeight="1">
      <c r="A430" t="inlineStr">
        <is>
          <t>A 64484-2021</t>
        </is>
      </c>
      <c r="B430" s="1" t="n">
        <v>44511</v>
      </c>
      <c r="C430" s="1" t="n">
        <v>45227</v>
      </c>
      <c r="D430" t="inlineStr">
        <is>
          <t>VÄSTRA GÖTALANDS LÄN</t>
        </is>
      </c>
      <c r="E430" t="inlineStr">
        <is>
          <t>TANUM</t>
        </is>
      </c>
      <c r="G430" t="n">
        <v>0.4</v>
      </c>
      <c r="H430" t="n">
        <v>0</v>
      </c>
      <c r="I430" t="n">
        <v>0</v>
      </c>
      <c r="J430" t="n">
        <v>0</v>
      </c>
      <c r="K430" t="n">
        <v>1</v>
      </c>
      <c r="L430" t="n">
        <v>0</v>
      </c>
      <c r="M430" t="n">
        <v>0</v>
      </c>
      <c r="N430" t="n">
        <v>0</v>
      </c>
      <c r="O430" t="n">
        <v>1</v>
      </c>
      <c r="P430" t="n">
        <v>1</v>
      </c>
      <c r="Q430" t="n">
        <v>1</v>
      </c>
      <c r="R430" s="2" t="inlineStr">
        <is>
          <t>Slåttergubbe</t>
        </is>
      </c>
      <c r="S430">
        <f>HYPERLINK("https://klasma.github.io/Logging_1435/artfynd/A 64484-2021 artfynd.xlsx", "A 64484-2021")</f>
        <v/>
      </c>
      <c r="T430">
        <f>HYPERLINK("https://klasma.github.io/Logging_1435/kartor/A 64484-2021 karta.png", "A 64484-2021")</f>
        <v/>
      </c>
      <c r="V430">
        <f>HYPERLINK("https://klasma.github.io/Logging_1435/klagomål/A 64484-2021 FSC-klagomål.docx", "A 64484-2021")</f>
        <v/>
      </c>
      <c r="W430">
        <f>HYPERLINK("https://klasma.github.io/Logging_1435/klagomålsmail/A 64484-2021 FSC-klagomål mail.docx", "A 64484-2021")</f>
        <v/>
      </c>
      <c r="X430">
        <f>HYPERLINK("https://klasma.github.io/Logging_1435/tillsyn/A 64484-2021 tillsynsbegäran.docx", "A 64484-2021")</f>
        <v/>
      </c>
      <c r="Y430">
        <f>HYPERLINK("https://klasma.github.io/Logging_1435/tillsynsmail/A 64484-2021 tillsynsbegäran mail.docx", "A 64484-2021")</f>
        <v/>
      </c>
    </row>
    <row r="431" ht="15" customHeight="1">
      <c r="A431" t="inlineStr">
        <is>
          <t>A 64810-2021</t>
        </is>
      </c>
      <c r="B431" s="1" t="n">
        <v>44512</v>
      </c>
      <c r="C431" s="1" t="n">
        <v>45227</v>
      </c>
      <c r="D431" t="inlineStr">
        <is>
          <t>VÄSTRA GÖTALANDS LÄN</t>
        </is>
      </c>
      <c r="E431" t="inlineStr">
        <is>
          <t>ULRICEHAMN</t>
        </is>
      </c>
      <c r="G431" t="n">
        <v>17.3</v>
      </c>
      <c r="H431" t="n">
        <v>1</v>
      </c>
      <c r="I431" t="n">
        <v>1</v>
      </c>
      <c r="J431" t="n">
        <v>0</v>
      </c>
      <c r="K431" t="n">
        <v>0</v>
      </c>
      <c r="L431" t="n">
        <v>0</v>
      </c>
      <c r="M431" t="n">
        <v>0</v>
      </c>
      <c r="N431" t="n">
        <v>0</v>
      </c>
      <c r="O431" t="n">
        <v>0</v>
      </c>
      <c r="P431" t="n">
        <v>0</v>
      </c>
      <c r="Q431" t="n">
        <v>1</v>
      </c>
      <c r="R431" s="2" t="inlineStr">
        <is>
          <t>Plattlummer</t>
        </is>
      </c>
      <c r="S431">
        <f>HYPERLINK("https://klasma.github.io/Logging_1491/artfynd/A 64810-2021 artfynd.xlsx", "A 64810-2021")</f>
        <v/>
      </c>
      <c r="T431">
        <f>HYPERLINK("https://klasma.github.io/Logging_1491/kartor/A 64810-2021 karta.png", "A 64810-2021")</f>
        <v/>
      </c>
      <c r="V431">
        <f>HYPERLINK("https://klasma.github.io/Logging_1491/klagomål/A 64810-2021 FSC-klagomål.docx", "A 64810-2021")</f>
        <v/>
      </c>
      <c r="W431">
        <f>HYPERLINK("https://klasma.github.io/Logging_1491/klagomålsmail/A 64810-2021 FSC-klagomål mail.docx", "A 64810-2021")</f>
        <v/>
      </c>
      <c r="X431">
        <f>HYPERLINK("https://klasma.github.io/Logging_1491/tillsyn/A 64810-2021 tillsynsbegäran.docx", "A 64810-2021")</f>
        <v/>
      </c>
      <c r="Y431">
        <f>HYPERLINK("https://klasma.github.io/Logging_1491/tillsynsmail/A 64810-2021 tillsynsbegäran mail.docx", "A 64810-2021")</f>
        <v/>
      </c>
    </row>
    <row r="432" ht="15" customHeight="1">
      <c r="A432" t="inlineStr">
        <is>
          <t>A 64860-2021</t>
        </is>
      </c>
      <c r="B432" s="1" t="n">
        <v>44512</v>
      </c>
      <c r="C432" s="1" t="n">
        <v>45227</v>
      </c>
      <c r="D432" t="inlineStr">
        <is>
          <t>VÄSTRA GÖTALANDS LÄN</t>
        </is>
      </c>
      <c r="E432" t="inlineStr">
        <is>
          <t>HÄRRYDA</t>
        </is>
      </c>
      <c r="F432" t="inlineStr">
        <is>
          <t>Kommuner</t>
        </is>
      </c>
      <c r="G432" t="n">
        <v>21.3</v>
      </c>
      <c r="H432" t="n">
        <v>1</v>
      </c>
      <c r="I432" t="n">
        <v>0</v>
      </c>
      <c r="J432" t="n">
        <v>0</v>
      </c>
      <c r="K432" t="n">
        <v>0</v>
      </c>
      <c r="L432" t="n">
        <v>0</v>
      </c>
      <c r="M432" t="n">
        <v>0</v>
      </c>
      <c r="N432" t="n">
        <v>0</v>
      </c>
      <c r="O432" t="n">
        <v>0</v>
      </c>
      <c r="P432" t="n">
        <v>0</v>
      </c>
      <c r="Q432" t="n">
        <v>1</v>
      </c>
      <c r="R432" s="2" t="inlineStr">
        <is>
          <t>Vanlig groda</t>
        </is>
      </c>
      <c r="S432">
        <f>HYPERLINK("https://klasma.github.io/Logging_1401/artfynd/A 64860-2021 artfynd.xlsx", "A 64860-2021")</f>
        <v/>
      </c>
      <c r="T432">
        <f>HYPERLINK("https://klasma.github.io/Logging_1401/kartor/A 64860-2021 karta.png", "A 64860-2021")</f>
        <v/>
      </c>
      <c r="V432">
        <f>HYPERLINK("https://klasma.github.io/Logging_1401/klagomål/A 64860-2021 FSC-klagomål.docx", "A 64860-2021")</f>
        <v/>
      </c>
      <c r="W432">
        <f>HYPERLINK("https://klasma.github.io/Logging_1401/klagomålsmail/A 64860-2021 FSC-klagomål mail.docx", "A 64860-2021")</f>
        <v/>
      </c>
      <c r="X432">
        <f>HYPERLINK("https://klasma.github.io/Logging_1401/tillsyn/A 64860-2021 tillsynsbegäran.docx", "A 64860-2021")</f>
        <v/>
      </c>
      <c r="Y432">
        <f>HYPERLINK("https://klasma.github.io/Logging_1401/tillsynsmail/A 64860-2021 tillsynsbegäran mail.docx", "A 64860-2021")</f>
        <v/>
      </c>
    </row>
    <row r="433" ht="15" customHeight="1">
      <c r="A433" t="inlineStr">
        <is>
          <t>A 68707-2021</t>
        </is>
      </c>
      <c r="B433" s="1" t="n">
        <v>44529</v>
      </c>
      <c r="C433" s="1" t="n">
        <v>45227</v>
      </c>
      <c r="D433" t="inlineStr">
        <is>
          <t>VÄSTRA GÖTALANDS LÄN</t>
        </is>
      </c>
      <c r="E433" t="inlineStr">
        <is>
          <t>UDDEVALLA</t>
        </is>
      </c>
      <c r="G433" t="n">
        <v>10.6</v>
      </c>
      <c r="H433" t="n">
        <v>1</v>
      </c>
      <c r="I433" t="n">
        <v>0</v>
      </c>
      <c r="J433" t="n">
        <v>0</v>
      </c>
      <c r="K433" t="n">
        <v>1</v>
      </c>
      <c r="L433" t="n">
        <v>0</v>
      </c>
      <c r="M433" t="n">
        <v>0</v>
      </c>
      <c r="N433" t="n">
        <v>0</v>
      </c>
      <c r="O433" t="n">
        <v>1</v>
      </c>
      <c r="P433" t="n">
        <v>1</v>
      </c>
      <c r="Q433" t="n">
        <v>1</v>
      </c>
      <c r="R433" s="2" t="inlineStr">
        <is>
          <t>Knärot</t>
        </is>
      </c>
      <c r="S433">
        <f>HYPERLINK("https://klasma.github.io/Logging_1485/artfynd/A 68707-2021 artfynd.xlsx", "A 68707-2021")</f>
        <v/>
      </c>
      <c r="T433">
        <f>HYPERLINK("https://klasma.github.io/Logging_1485/kartor/A 68707-2021 karta.png", "A 68707-2021")</f>
        <v/>
      </c>
      <c r="U433">
        <f>HYPERLINK("https://klasma.github.io/Logging_1485/knärot/A 68707-2021 karta knärot.png", "A 68707-2021")</f>
        <v/>
      </c>
      <c r="V433">
        <f>HYPERLINK("https://klasma.github.io/Logging_1485/klagomål/A 68707-2021 FSC-klagomål.docx", "A 68707-2021")</f>
        <v/>
      </c>
      <c r="W433">
        <f>HYPERLINK("https://klasma.github.io/Logging_1485/klagomålsmail/A 68707-2021 FSC-klagomål mail.docx", "A 68707-2021")</f>
        <v/>
      </c>
      <c r="X433">
        <f>HYPERLINK("https://klasma.github.io/Logging_1485/tillsyn/A 68707-2021 tillsynsbegäran.docx", "A 68707-2021")</f>
        <v/>
      </c>
      <c r="Y433">
        <f>HYPERLINK("https://klasma.github.io/Logging_1485/tillsynsmail/A 68707-2021 tillsynsbegäran mail.docx", "A 68707-2021")</f>
        <v/>
      </c>
    </row>
    <row r="434" ht="15" customHeight="1">
      <c r="A434" t="inlineStr">
        <is>
          <t>A 73714-2021</t>
        </is>
      </c>
      <c r="B434" s="1" t="n">
        <v>44551</v>
      </c>
      <c r="C434" s="1" t="n">
        <v>45227</v>
      </c>
      <c r="D434" t="inlineStr">
        <is>
          <t>VÄSTRA GÖTALANDS LÄN</t>
        </is>
      </c>
      <c r="E434" t="inlineStr">
        <is>
          <t>MÖLNDAL</t>
        </is>
      </c>
      <c r="G434" t="n">
        <v>2.5</v>
      </c>
      <c r="H434" t="n">
        <v>0</v>
      </c>
      <c r="I434" t="n">
        <v>0</v>
      </c>
      <c r="J434" t="n">
        <v>0</v>
      </c>
      <c r="K434" t="n">
        <v>0</v>
      </c>
      <c r="L434" t="n">
        <v>1</v>
      </c>
      <c r="M434" t="n">
        <v>0</v>
      </c>
      <c r="N434" t="n">
        <v>0</v>
      </c>
      <c r="O434" t="n">
        <v>1</v>
      </c>
      <c r="P434" t="n">
        <v>1</v>
      </c>
      <c r="Q434" t="n">
        <v>1</v>
      </c>
      <c r="R434" s="2" t="inlineStr">
        <is>
          <t>Ask</t>
        </is>
      </c>
      <c r="S434">
        <f>HYPERLINK("https://klasma.github.io/Logging_1481/artfynd/A 73714-2021 artfynd.xlsx", "A 73714-2021")</f>
        <v/>
      </c>
      <c r="T434">
        <f>HYPERLINK("https://klasma.github.io/Logging_1481/kartor/A 73714-2021 karta.png", "A 73714-2021")</f>
        <v/>
      </c>
      <c r="V434">
        <f>HYPERLINK("https://klasma.github.io/Logging_1481/klagomål/A 73714-2021 FSC-klagomål.docx", "A 73714-2021")</f>
        <v/>
      </c>
      <c r="W434">
        <f>HYPERLINK("https://klasma.github.io/Logging_1481/klagomålsmail/A 73714-2021 FSC-klagomål mail.docx", "A 73714-2021")</f>
        <v/>
      </c>
      <c r="X434">
        <f>HYPERLINK("https://klasma.github.io/Logging_1481/tillsyn/A 73714-2021 tillsynsbegäran.docx", "A 73714-2021")</f>
        <v/>
      </c>
      <c r="Y434">
        <f>HYPERLINK("https://klasma.github.io/Logging_1481/tillsynsmail/A 73714-2021 tillsynsbegäran mail.docx", "A 73714-2021")</f>
        <v/>
      </c>
    </row>
    <row r="435" ht="15" customHeight="1">
      <c r="A435" t="inlineStr">
        <is>
          <t>A 1013-2022</t>
        </is>
      </c>
      <c r="B435" s="1" t="n">
        <v>44571</v>
      </c>
      <c r="C435" s="1" t="n">
        <v>45227</v>
      </c>
      <c r="D435" t="inlineStr">
        <is>
          <t>VÄSTRA GÖTALANDS LÄN</t>
        </is>
      </c>
      <c r="E435" t="inlineStr">
        <is>
          <t>STRÖMSTAD</t>
        </is>
      </c>
      <c r="G435" t="n">
        <v>2.5</v>
      </c>
      <c r="H435" t="n">
        <v>0</v>
      </c>
      <c r="I435" t="n">
        <v>0</v>
      </c>
      <c r="J435" t="n">
        <v>1</v>
      </c>
      <c r="K435" t="n">
        <v>0</v>
      </c>
      <c r="L435" t="n">
        <v>0</v>
      </c>
      <c r="M435" t="n">
        <v>0</v>
      </c>
      <c r="N435" t="n">
        <v>0</v>
      </c>
      <c r="O435" t="n">
        <v>1</v>
      </c>
      <c r="P435" t="n">
        <v>0</v>
      </c>
      <c r="Q435" t="n">
        <v>1</v>
      </c>
      <c r="R435" s="2" t="inlineStr">
        <is>
          <t>Skogssvingel</t>
        </is>
      </c>
      <c r="S435">
        <f>HYPERLINK("https://klasma.github.io/Logging_1486/artfynd/A 1013-2022 artfynd.xlsx", "A 1013-2022")</f>
        <v/>
      </c>
      <c r="T435">
        <f>HYPERLINK("https://klasma.github.io/Logging_1486/kartor/A 1013-2022 karta.png", "A 1013-2022")</f>
        <v/>
      </c>
      <c r="V435">
        <f>HYPERLINK("https://klasma.github.io/Logging_1486/klagomål/A 1013-2022 FSC-klagomål.docx", "A 1013-2022")</f>
        <v/>
      </c>
      <c r="W435">
        <f>HYPERLINK("https://klasma.github.io/Logging_1486/klagomålsmail/A 1013-2022 FSC-klagomål mail.docx", "A 1013-2022")</f>
        <v/>
      </c>
      <c r="X435">
        <f>HYPERLINK("https://klasma.github.io/Logging_1486/tillsyn/A 1013-2022 tillsynsbegäran.docx", "A 1013-2022")</f>
        <v/>
      </c>
      <c r="Y435">
        <f>HYPERLINK("https://klasma.github.io/Logging_1486/tillsynsmail/A 1013-2022 tillsynsbegäran mail.docx", "A 1013-2022")</f>
        <v/>
      </c>
    </row>
    <row r="436" ht="15" customHeight="1">
      <c r="A436" t="inlineStr">
        <is>
          <t>A 2637-2022</t>
        </is>
      </c>
      <c r="B436" s="1" t="n">
        <v>44580</v>
      </c>
      <c r="C436" s="1" t="n">
        <v>45227</v>
      </c>
      <c r="D436" t="inlineStr">
        <is>
          <t>VÄSTRA GÖTALANDS LÄN</t>
        </is>
      </c>
      <c r="E436" t="inlineStr">
        <is>
          <t>GULLSPÅNG</t>
        </is>
      </c>
      <c r="G436" t="n">
        <v>3</v>
      </c>
      <c r="H436" t="n">
        <v>1</v>
      </c>
      <c r="I436" t="n">
        <v>0</v>
      </c>
      <c r="J436" t="n">
        <v>0</v>
      </c>
      <c r="K436" t="n">
        <v>1</v>
      </c>
      <c r="L436" t="n">
        <v>0</v>
      </c>
      <c r="M436" t="n">
        <v>0</v>
      </c>
      <c r="N436" t="n">
        <v>0</v>
      </c>
      <c r="O436" t="n">
        <v>1</v>
      </c>
      <c r="P436" t="n">
        <v>1</v>
      </c>
      <c r="Q436" t="n">
        <v>1</v>
      </c>
      <c r="R436" s="2" t="inlineStr">
        <is>
          <t>Knärot</t>
        </is>
      </c>
      <c r="S436">
        <f>HYPERLINK("https://klasma.github.io/Logging_1447/artfynd/A 2637-2022 artfynd.xlsx", "A 2637-2022")</f>
        <v/>
      </c>
      <c r="T436">
        <f>HYPERLINK("https://klasma.github.io/Logging_1447/kartor/A 2637-2022 karta.png", "A 2637-2022")</f>
        <v/>
      </c>
      <c r="U436">
        <f>HYPERLINK("https://klasma.github.io/Logging_1447/knärot/A 2637-2022 karta knärot.png", "A 2637-2022")</f>
        <v/>
      </c>
      <c r="V436">
        <f>HYPERLINK("https://klasma.github.io/Logging_1447/klagomål/A 2637-2022 FSC-klagomål.docx", "A 2637-2022")</f>
        <v/>
      </c>
      <c r="W436">
        <f>HYPERLINK("https://klasma.github.io/Logging_1447/klagomålsmail/A 2637-2022 FSC-klagomål mail.docx", "A 2637-2022")</f>
        <v/>
      </c>
      <c r="X436">
        <f>HYPERLINK("https://klasma.github.io/Logging_1447/tillsyn/A 2637-2022 tillsynsbegäran.docx", "A 2637-2022")</f>
        <v/>
      </c>
      <c r="Y436">
        <f>HYPERLINK("https://klasma.github.io/Logging_1447/tillsynsmail/A 2637-2022 tillsynsbegäran mail.docx", "A 2637-2022")</f>
        <v/>
      </c>
    </row>
    <row r="437" ht="15" customHeight="1">
      <c r="A437" t="inlineStr">
        <is>
          <t>A 4966-2022</t>
        </is>
      </c>
      <c r="B437" s="1" t="n">
        <v>44593</v>
      </c>
      <c r="C437" s="1" t="n">
        <v>45227</v>
      </c>
      <c r="D437" t="inlineStr">
        <is>
          <t>VÄSTRA GÖTALANDS LÄN</t>
        </is>
      </c>
      <c r="E437" t="inlineStr">
        <is>
          <t>HJO</t>
        </is>
      </c>
      <c r="G437" t="n">
        <v>0.6</v>
      </c>
      <c r="H437" t="n">
        <v>0</v>
      </c>
      <c r="I437" t="n">
        <v>0</v>
      </c>
      <c r="J437" t="n">
        <v>0</v>
      </c>
      <c r="K437" t="n">
        <v>0</v>
      </c>
      <c r="L437" t="n">
        <v>1</v>
      </c>
      <c r="M437" t="n">
        <v>0</v>
      </c>
      <c r="N437" t="n">
        <v>0</v>
      </c>
      <c r="O437" t="n">
        <v>1</v>
      </c>
      <c r="P437" t="n">
        <v>1</v>
      </c>
      <c r="Q437" t="n">
        <v>1</v>
      </c>
      <c r="R437" s="2" t="inlineStr">
        <is>
          <t>Ask</t>
        </is>
      </c>
      <c r="S437">
        <f>HYPERLINK("https://klasma.github.io/Logging_1497/artfynd/A 4966-2022 artfynd.xlsx", "A 4966-2022")</f>
        <v/>
      </c>
      <c r="T437">
        <f>HYPERLINK("https://klasma.github.io/Logging_1497/kartor/A 4966-2022 karta.png", "A 4966-2022")</f>
        <v/>
      </c>
      <c r="V437">
        <f>HYPERLINK("https://klasma.github.io/Logging_1497/klagomål/A 4966-2022 FSC-klagomål.docx", "A 4966-2022")</f>
        <v/>
      </c>
      <c r="W437">
        <f>HYPERLINK("https://klasma.github.io/Logging_1497/klagomålsmail/A 4966-2022 FSC-klagomål mail.docx", "A 4966-2022")</f>
        <v/>
      </c>
      <c r="X437">
        <f>HYPERLINK("https://klasma.github.io/Logging_1497/tillsyn/A 4966-2022 tillsynsbegäran.docx", "A 4966-2022")</f>
        <v/>
      </c>
      <c r="Y437">
        <f>HYPERLINK("https://klasma.github.io/Logging_1497/tillsynsmail/A 4966-2022 tillsynsbegäran mail.docx", "A 4966-2022")</f>
        <v/>
      </c>
    </row>
    <row r="438" ht="15" customHeight="1">
      <c r="A438" t="inlineStr">
        <is>
          <t>A 6545-2022</t>
        </is>
      </c>
      <c r="B438" s="1" t="n">
        <v>44601</v>
      </c>
      <c r="C438" s="1" t="n">
        <v>45227</v>
      </c>
      <c r="D438" t="inlineStr">
        <is>
          <t>VÄSTRA GÖTALANDS LÄN</t>
        </is>
      </c>
      <c r="E438" t="inlineStr">
        <is>
          <t>MUNKEDAL</t>
        </is>
      </c>
      <c r="G438" t="n">
        <v>4.1</v>
      </c>
      <c r="H438" t="n">
        <v>1</v>
      </c>
      <c r="I438" t="n">
        <v>0</v>
      </c>
      <c r="J438" t="n">
        <v>0</v>
      </c>
      <c r="K438" t="n">
        <v>0</v>
      </c>
      <c r="L438" t="n">
        <v>0</v>
      </c>
      <c r="M438" t="n">
        <v>0</v>
      </c>
      <c r="N438" t="n">
        <v>0</v>
      </c>
      <c r="O438" t="n">
        <v>0</v>
      </c>
      <c r="P438" t="n">
        <v>0</v>
      </c>
      <c r="Q438" t="n">
        <v>1</v>
      </c>
      <c r="R438" s="2" t="inlineStr">
        <is>
          <t>Revlummer</t>
        </is>
      </c>
      <c r="S438">
        <f>HYPERLINK("https://klasma.github.io/Logging_1430/artfynd/A 6545-2022 artfynd.xlsx", "A 6545-2022")</f>
        <v/>
      </c>
      <c r="T438">
        <f>HYPERLINK("https://klasma.github.io/Logging_1430/kartor/A 6545-2022 karta.png", "A 6545-2022")</f>
        <v/>
      </c>
      <c r="V438">
        <f>HYPERLINK("https://klasma.github.io/Logging_1430/klagomål/A 6545-2022 FSC-klagomål.docx", "A 6545-2022")</f>
        <v/>
      </c>
      <c r="W438">
        <f>HYPERLINK("https://klasma.github.io/Logging_1430/klagomålsmail/A 6545-2022 FSC-klagomål mail.docx", "A 6545-2022")</f>
        <v/>
      </c>
      <c r="X438">
        <f>HYPERLINK("https://klasma.github.io/Logging_1430/tillsyn/A 6545-2022 tillsynsbegäran.docx", "A 6545-2022")</f>
        <v/>
      </c>
      <c r="Y438">
        <f>HYPERLINK("https://klasma.github.io/Logging_1430/tillsynsmail/A 6545-2022 tillsynsbegäran mail.docx", "A 6545-2022")</f>
        <v/>
      </c>
    </row>
    <row r="439" ht="15" customHeight="1">
      <c r="A439" t="inlineStr">
        <is>
          <t>A 8098-2022</t>
        </is>
      </c>
      <c r="B439" s="1" t="n">
        <v>44609</v>
      </c>
      <c r="C439" s="1" t="n">
        <v>45227</v>
      </c>
      <c r="D439" t="inlineStr">
        <is>
          <t>VÄSTRA GÖTALANDS LÄN</t>
        </is>
      </c>
      <c r="E439" t="inlineStr">
        <is>
          <t>TRANEMO</t>
        </is>
      </c>
      <c r="F439" t="inlineStr">
        <is>
          <t>Kommuner</t>
        </is>
      </c>
      <c r="G439" t="n">
        <v>5.3</v>
      </c>
      <c r="H439" t="n">
        <v>0</v>
      </c>
      <c r="I439" t="n">
        <v>0</v>
      </c>
      <c r="J439" t="n">
        <v>1</v>
      </c>
      <c r="K439" t="n">
        <v>0</v>
      </c>
      <c r="L439" t="n">
        <v>0</v>
      </c>
      <c r="M439" t="n">
        <v>0</v>
      </c>
      <c r="N439" t="n">
        <v>0</v>
      </c>
      <c r="O439" t="n">
        <v>1</v>
      </c>
      <c r="P439" t="n">
        <v>0</v>
      </c>
      <c r="Q439" t="n">
        <v>1</v>
      </c>
      <c r="R439" s="2" t="inlineStr">
        <is>
          <t>Brunpudrad nållav</t>
        </is>
      </c>
      <c r="S439">
        <f>HYPERLINK("https://klasma.github.io/Logging_1452/artfynd/A 8098-2022 artfynd.xlsx", "A 8098-2022")</f>
        <v/>
      </c>
      <c r="T439">
        <f>HYPERLINK("https://klasma.github.io/Logging_1452/kartor/A 8098-2022 karta.png", "A 8098-2022")</f>
        <v/>
      </c>
      <c r="V439">
        <f>HYPERLINK("https://klasma.github.io/Logging_1452/klagomål/A 8098-2022 FSC-klagomål.docx", "A 8098-2022")</f>
        <v/>
      </c>
      <c r="W439">
        <f>HYPERLINK("https://klasma.github.io/Logging_1452/klagomålsmail/A 8098-2022 FSC-klagomål mail.docx", "A 8098-2022")</f>
        <v/>
      </c>
      <c r="X439">
        <f>HYPERLINK("https://klasma.github.io/Logging_1452/tillsyn/A 8098-2022 tillsynsbegäran.docx", "A 8098-2022")</f>
        <v/>
      </c>
      <c r="Y439">
        <f>HYPERLINK("https://klasma.github.io/Logging_1452/tillsynsmail/A 8098-2022 tillsynsbegäran mail.docx", "A 8098-2022")</f>
        <v/>
      </c>
    </row>
    <row r="440" ht="15" customHeight="1">
      <c r="A440" t="inlineStr">
        <is>
          <t>A 8266-2022</t>
        </is>
      </c>
      <c r="B440" s="1" t="n">
        <v>44610</v>
      </c>
      <c r="C440" s="1" t="n">
        <v>45227</v>
      </c>
      <c r="D440" t="inlineStr">
        <is>
          <t>VÄSTRA GÖTALANDS LÄN</t>
        </is>
      </c>
      <c r="E440" t="inlineStr">
        <is>
          <t>TÖREBODA</t>
        </is>
      </c>
      <c r="F440" t="inlineStr">
        <is>
          <t>Sveaskog</t>
        </is>
      </c>
      <c r="G440" t="n">
        <v>0.5</v>
      </c>
      <c r="H440" t="n">
        <v>0</v>
      </c>
      <c r="I440" t="n">
        <v>0</v>
      </c>
      <c r="J440" t="n">
        <v>1</v>
      </c>
      <c r="K440" t="n">
        <v>0</v>
      </c>
      <c r="L440" t="n">
        <v>0</v>
      </c>
      <c r="M440" t="n">
        <v>0</v>
      </c>
      <c r="N440" t="n">
        <v>0</v>
      </c>
      <c r="O440" t="n">
        <v>1</v>
      </c>
      <c r="P440" t="n">
        <v>0</v>
      </c>
      <c r="Q440" t="n">
        <v>1</v>
      </c>
      <c r="R440" s="2" t="inlineStr">
        <is>
          <t>Dofttaggsvamp</t>
        </is>
      </c>
      <c r="S440">
        <f>HYPERLINK("https://klasma.github.io/Logging_1473/artfynd/A 8266-2022 artfynd.xlsx", "A 8266-2022")</f>
        <v/>
      </c>
      <c r="T440">
        <f>HYPERLINK("https://klasma.github.io/Logging_1473/kartor/A 8266-2022 karta.png", "A 8266-2022")</f>
        <v/>
      </c>
      <c r="V440">
        <f>HYPERLINK("https://klasma.github.io/Logging_1473/klagomål/A 8266-2022 FSC-klagomål.docx", "A 8266-2022")</f>
        <v/>
      </c>
      <c r="W440">
        <f>HYPERLINK("https://klasma.github.io/Logging_1473/klagomålsmail/A 8266-2022 FSC-klagomål mail.docx", "A 8266-2022")</f>
        <v/>
      </c>
      <c r="X440">
        <f>HYPERLINK("https://klasma.github.io/Logging_1473/tillsyn/A 8266-2022 tillsynsbegäran.docx", "A 8266-2022")</f>
        <v/>
      </c>
      <c r="Y440">
        <f>HYPERLINK("https://klasma.github.io/Logging_1473/tillsynsmail/A 8266-2022 tillsynsbegäran mail.docx", "A 8266-2022")</f>
        <v/>
      </c>
    </row>
    <row r="441" ht="15" customHeight="1">
      <c r="A441" t="inlineStr">
        <is>
          <t>A 8701-2022</t>
        </is>
      </c>
      <c r="B441" s="1" t="n">
        <v>44613</v>
      </c>
      <c r="C441" s="1" t="n">
        <v>45227</v>
      </c>
      <c r="D441" t="inlineStr">
        <is>
          <t>VÄSTRA GÖTALANDS LÄN</t>
        </is>
      </c>
      <c r="E441" t="inlineStr">
        <is>
          <t>SVENLJUNGA</t>
        </is>
      </c>
      <c r="G441" t="n">
        <v>7.8</v>
      </c>
      <c r="H441" t="n">
        <v>0</v>
      </c>
      <c r="I441" t="n">
        <v>0</v>
      </c>
      <c r="J441" t="n">
        <v>0</v>
      </c>
      <c r="K441" t="n">
        <v>0</v>
      </c>
      <c r="L441" t="n">
        <v>1</v>
      </c>
      <c r="M441" t="n">
        <v>0</v>
      </c>
      <c r="N441" t="n">
        <v>0</v>
      </c>
      <c r="O441" t="n">
        <v>1</v>
      </c>
      <c r="P441" t="n">
        <v>1</v>
      </c>
      <c r="Q441" t="n">
        <v>1</v>
      </c>
      <c r="R441" s="2" t="inlineStr">
        <is>
          <t>Ask</t>
        </is>
      </c>
      <c r="S441">
        <f>HYPERLINK("https://klasma.github.io/Logging_1465/artfynd/A 8701-2022 artfynd.xlsx", "A 8701-2022")</f>
        <v/>
      </c>
      <c r="T441">
        <f>HYPERLINK("https://klasma.github.io/Logging_1465/kartor/A 8701-2022 karta.png", "A 8701-2022")</f>
        <v/>
      </c>
      <c r="V441">
        <f>HYPERLINK("https://klasma.github.io/Logging_1465/klagomål/A 8701-2022 FSC-klagomål.docx", "A 8701-2022")</f>
        <v/>
      </c>
      <c r="W441">
        <f>HYPERLINK("https://klasma.github.io/Logging_1465/klagomålsmail/A 8701-2022 FSC-klagomål mail.docx", "A 8701-2022")</f>
        <v/>
      </c>
      <c r="X441">
        <f>HYPERLINK("https://klasma.github.io/Logging_1465/tillsyn/A 8701-2022 tillsynsbegäran.docx", "A 8701-2022")</f>
        <v/>
      </c>
      <c r="Y441">
        <f>HYPERLINK("https://klasma.github.io/Logging_1465/tillsynsmail/A 8701-2022 tillsynsbegäran mail.docx", "A 8701-2022")</f>
        <v/>
      </c>
    </row>
    <row r="442" ht="15" customHeight="1">
      <c r="A442" t="inlineStr">
        <is>
          <t>A 8697-2022</t>
        </is>
      </c>
      <c r="B442" s="1" t="n">
        <v>44613</v>
      </c>
      <c r="C442" s="1" t="n">
        <v>45227</v>
      </c>
      <c r="D442" t="inlineStr">
        <is>
          <t>VÄSTRA GÖTALANDS LÄN</t>
        </is>
      </c>
      <c r="E442" t="inlineStr">
        <is>
          <t>SVENLJUNGA</t>
        </is>
      </c>
      <c r="G442" t="n">
        <v>7.8</v>
      </c>
      <c r="H442" t="n">
        <v>0</v>
      </c>
      <c r="I442" t="n">
        <v>0</v>
      </c>
      <c r="J442" t="n">
        <v>0</v>
      </c>
      <c r="K442" t="n">
        <v>0</v>
      </c>
      <c r="L442" t="n">
        <v>1</v>
      </c>
      <c r="M442" t="n">
        <v>0</v>
      </c>
      <c r="N442" t="n">
        <v>0</v>
      </c>
      <c r="O442" t="n">
        <v>1</v>
      </c>
      <c r="P442" t="n">
        <v>1</v>
      </c>
      <c r="Q442" t="n">
        <v>1</v>
      </c>
      <c r="R442" s="2" t="inlineStr">
        <is>
          <t>Ask</t>
        </is>
      </c>
      <c r="S442">
        <f>HYPERLINK("https://klasma.github.io/Logging_1465/artfynd/A 8697-2022 artfynd.xlsx", "A 8697-2022")</f>
        <v/>
      </c>
      <c r="T442">
        <f>HYPERLINK("https://klasma.github.io/Logging_1465/kartor/A 8697-2022 karta.png", "A 8697-2022")</f>
        <v/>
      </c>
      <c r="V442">
        <f>HYPERLINK("https://klasma.github.io/Logging_1465/klagomål/A 8697-2022 FSC-klagomål.docx", "A 8697-2022")</f>
        <v/>
      </c>
      <c r="W442">
        <f>HYPERLINK("https://klasma.github.io/Logging_1465/klagomålsmail/A 8697-2022 FSC-klagomål mail.docx", "A 8697-2022")</f>
        <v/>
      </c>
      <c r="X442">
        <f>HYPERLINK("https://klasma.github.io/Logging_1465/tillsyn/A 8697-2022 tillsynsbegäran.docx", "A 8697-2022")</f>
        <v/>
      </c>
      <c r="Y442">
        <f>HYPERLINK("https://klasma.github.io/Logging_1465/tillsynsmail/A 8697-2022 tillsynsbegäran mail.docx", "A 8697-2022")</f>
        <v/>
      </c>
    </row>
    <row r="443" ht="15" customHeight="1">
      <c r="A443" t="inlineStr">
        <is>
          <t>A 13277-2022</t>
        </is>
      </c>
      <c r="B443" s="1" t="n">
        <v>44644</v>
      </c>
      <c r="C443" s="1" t="n">
        <v>45227</v>
      </c>
      <c r="D443" t="inlineStr">
        <is>
          <t>VÄSTRA GÖTALANDS LÄN</t>
        </is>
      </c>
      <c r="E443" t="inlineStr">
        <is>
          <t>TRANEMO</t>
        </is>
      </c>
      <c r="G443" t="n">
        <v>4.1</v>
      </c>
      <c r="H443" t="n">
        <v>0</v>
      </c>
      <c r="I443" t="n">
        <v>1</v>
      </c>
      <c r="J443" t="n">
        <v>0</v>
      </c>
      <c r="K443" t="n">
        <v>0</v>
      </c>
      <c r="L443" t="n">
        <v>0</v>
      </c>
      <c r="M443" t="n">
        <v>0</v>
      </c>
      <c r="N443" t="n">
        <v>0</v>
      </c>
      <c r="O443" t="n">
        <v>0</v>
      </c>
      <c r="P443" t="n">
        <v>0</v>
      </c>
      <c r="Q443" t="n">
        <v>1</v>
      </c>
      <c r="R443" s="2" t="inlineStr">
        <is>
          <t>Kattfotslav</t>
        </is>
      </c>
      <c r="S443">
        <f>HYPERLINK("https://klasma.github.io/Logging_1452/artfynd/A 13277-2022 artfynd.xlsx", "A 13277-2022")</f>
        <v/>
      </c>
      <c r="T443">
        <f>HYPERLINK("https://klasma.github.io/Logging_1452/kartor/A 13277-2022 karta.png", "A 13277-2022")</f>
        <v/>
      </c>
      <c r="V443">
        <f>HYPERLINK("https://klasma.github.io/Logging_1452/klagomål/A 13277-2022 FSC-klagomål.docx", "A 13277-2022")</f>
        <v/>
      </c>
      <c r="W443">
        <f>HYPERLINK("https://klasma.github.io/Logging_1452/klagomålsmail/A 13277-2022 FSC-klagomål mail.docx", "A 13277-2022")</f>
        <v/>
      </c>
      <c r="X443">
        <f>HYPERLINK("https://klasma.github.io/Logging_1452/tillsyn/A 13277-2022 tillsynsbegäran.docx", "A 13277-2022")</f>
        <v/>
      </c>
      <c r="Y443">
        <f>HYPERLINK("https://klasma.github.io/Logging_1452/tillsynsmail/A 13277-2022 tillsynsbegäran mail.docx", "A 13277-2022")</f>
        <v/>
      </c>
    </row>
    <row r="444" ht="15" customHeight="1">
      <c r="A444" t="inlineStr">
        <is>
          <t>A 13606-2022</t>
        </is>
      </c>
      <c r="B444" s="1" t="n">
        <v>44648</v>
      </c>
      <c r="C444" s="1" t="n">
        <v>45227</v>
      </c>
      <c r="D444" t="inlineStr">
        <is>
          <t>VÄSTRA GÖTALANDS LÄN</t>
        </is>
      </c>
      <c r="E444" t="inlineStr">
        <is>
          <t>MARIESTAD</t>
        </is>
      </c>
      <c r="G444" t="n">
        <v>1.8</v>
      </c>
      <c r="H444" t="n">
        <v>1</v>
      </c>
      <c r="I444" t="n">
        <v>0</v>
      </c>
      <c r="J444" t="n">
        <v>0</v>
      </c>
      <c r="K444" t="n">
        <v>0</v>
      </c>
      <c r="L444" t="n">
        <v>0</v>
      </c>
      <c r="M444" t="n">
        <v>0</v>
      </c>
      <c r="N444" t="n">
        <v>0</v>
      </c>
      <c r="O444" t="n">
        <v>0</v>
      </c>
      <c r="P444" t="n">
        <v>0</v>
      </c>
      <c r="Q444" t="n">
        <v>1</v>
      </c>
      <c r="R444" s="2" t="inlineStr">
        <is>
          <t>Större vattensalamander</t>
        </is>
      </c>
      <c r="S444">
        <f>HYPERLINK("https://klasma.github.io/Logging_1493/artfynd/A 13606-2022 artfynd.xlsx", "A 13606-2022")</f>
        <v/>
      </c>
      <c r="T444">
        <f>HYPERLINK("https://klasma.github.io/Logging_1493/kartor/A 13606-2022 karta.png", "A 13606-2022")</f>
        <v/>
      </c>
      <c r="V444">
        <f>HYPERLINK("https://klasma.github.io/Logging_1493/klagomål/A 13606-2022 FSC-klagomål.docx", "A 13606-2022")</f>
        <v/>
      </c>
      <c r="W444">
        <f>HYPERLINK("https://klasma.github.io/Logging_1493/klagomålsmail/A 13606-2022 FSC-klagomål mail.docx", "A 13606-2022")</f>
        <v/>
      </c>
      <c r="X444">
        <f>HYPERLINK("https://klasma.github.io/Logging_1493/tillsyn/A 13606-2022 tillsynsbegäran.docx", "A 13606-2022")</f>
        <v/>
      </c>
      <c r="Y444">
        <f>HYPERLINK("https://klasma.github.io/Logging_1493/tillsynsmail/A 13606-2022 tillsynsbegäran mail.docx", "A 13606-2022")</f>
        <v/>
      </c>
    </row>
    <row r="445" ht="15" customHeight="1">
      <c r="A445" t="inlineStr">
        <is>
          <t>A 14487-2022</t>
        </is>
      </c>
      <c r="B445" s="1" t="n">
        <v>44652</v>
      </c>
      <c r="C445" s="1" t="n">
        <v>45227</v>
      </c>
      <c r="D445" t="inlineStr">
        <is>
          <t>VÄSTRA GÖTALANDS LÄN</t>
        </is>
      </c>
      <c r="E445" t="inlineStr">
        <is>
          <t>SKÖVDE</t>
        </is>
      </c>
      <c r="G445" t="n">
        <v>2.6</v>
      </c>
      <c r="H445" t="n">
        <v>1</v>
      </c>
      <c r="I445" t="n">
        <v>0</v>
      </c>
      <c r="J445" t="n">
        <v>0</v>
      </c>
      <c r="K445" t="n">
        <v>0</v>
      </c>
      <c r="L445" t="n">
        <v>0</v>
      </c>
      <c r="M445" t="n">
        <v>0</v>
      </c>
      <c r="N445" t="n">
        <v>0</v>
      </c>
      <c r="O445" t="n">
        <v>0</v>
      </c>
      <c r="P445" t="n">
        <v>0</v>
      </c>
      <c r="Q445" t="n">
        <v>1</v>
      </c>
      <c r="R445" s="2" t="inlineStr">
        <is>
          <t>Lopplummer</t>
        </is>
      </c>
      <c r="S445">
        <f>HYPERLINK("https://klasma.github.io/Logging_1496/artfynd/A 14487-2022 artfynd.xlsx", "A 14487-2022")</f>
        <v/>
      </c>
      <c r="T445">
        <f>HYPERLINK("https://klasma.github.io/Logging_1496/kartor/A 14487-2022 karta.png", "A 14487-2022")</f>
        <v/>
      </c>
      <c r="V445">
        <f>HYPERLINK("https://klasma.github.io/Logging_1496/klagomål/A 14487-2022 FSC-klagomål.docx", "A 14487-2022")</f>
        <v/>
      </c>
      <c r="W445">
        <f>HYPERLINK("https://klasma.github.io/Logging_1496/klagomålsmail/A 14487-2022 FSC-klagomål mail.docx", "A 14487-2022")</f>
        <v/>
      </c>
      <c r="X445">
        <f>HYPERLINK("https://klasma.github.io/Logging_1496/tillsyn/A 14487-2022 tillsynsbegäran.docx", "A 14487-2022")</f>
        <v/>
      </c>
      <c r="Y445">
        <f>HYPERLINK("https://klasma.github.io/Logging_1496/tillsynsmail/A 14487-2022 tillsynsbegäran mail.docx", "A 14487-2022")</f>
        <v/>
      </c>
    </row>
    <row r="446" ht="15" customHeight="1">
      <c r="A446" t="inlineStr">
        <is>
          <t>A 18264-2022</t>
        </is>
      </c>
      <c r="B446" s="1" t="n">
        <v>44685</v>
      </c>
      <c r="C446" s="1" t="n">
        <v>45227</v>
      </c>
      <c r="D446" t="inlineStr">
        <is>
          <t>VÄSTRA GÖTALANDS LÄN</t>
        </is>
      </c>
      <c r="E446" t="inlineStr">
        <is>
          <t>TROLLHÄTTAN</t>
        </is>
      </c>
      <c r="G446" t="n">
        <v>16</v>
      </c>
      <c r="H446" t="n">
        <v>1</v>
      </c>
      <c r="I446" t="n">
        <v>0</v>
      </c>
      <c r="J446" t="n">
        <v>0</v>
      </c>
      <c r="K446" t="n">
        <v>1</v>
      </c>
      <c r="L446" t="n">
        <v>0</v>
      </c>
      <c r="M446" t="n">
        <v>0</v>
      </c>
      <c r="N446" t="n">
        <v>0</v>
      </c>
      <c r="O446" t="n">
        <v>1</v>
      </c>
      <c r="P446" t="n">
        <v>1</v>
      </c>
      <c r="Q446" t="n">
        <v>1</v>
      </c>
      <c r="R446" s="2" t="inlineStr">
        <is>
          <t>Knärot</t>
        </is>
      </c>
      <c r="S446">
        <f>HYPERLINK("https://klasma.github.io/Logging_1488/artfynd/A 18264-2022 artfynd.xlsx", "A 18264-2022")</f>
        <v/>
      </c>
      <c r="T446">
        <f>HYPERLINK("https://klasma.github.io/Logging_1488/kartor/A 18264-2022 karta.png", "A 18264-2022")</f>
        <v/>
      </c>
      <c r="U446">
        <f>HYPERLINK("https://klasma.github.io/Logging_1488/knärot/A 18264-2022 karta knärot.png", "A 18264-2022")</f>
        <v/>
      </c>
      <c r="V446">
        <f>HYPERLINK("https://klasma.github.io/Logging_1488/klagomål/A 18264-2022 FSC-klagomål.docx", "A 18264-2022")</f>
        <v/>
      </c>
      <c r="W446">
        <f>HYPERLINK("https://klasma.github.io/Logging_1488/klagomålsmail/A 18264-2022 FSC-klagomål mail.docx", "A 18264-2022")</f>
        <v/>
      </c>
      <c r="X446">
        <f>HYPERLINK("https://klasma.github.io/Logging_1488/tillsyn/A 18264-2022 tillsynsbegäran.docx", "A 18264-2022")</f>
        <v/>
      </c>
      <c r="Y446">
        <f>HYPERLINK("https://klasma.github.io/Logging_1488/tillsynsmail/A 18264-2022 tillsynsbegäran mail.docx", "A 18264-2022")</f>
        <v/>
      </c>
    </row>
    <row r="447" ht="15" customHeight="1">
      <c r="A447" t="inlineStr">
        <is>
          <t>A 18959-2022</t>
        </is>
      </c>
      <c r="B447" s="1" t="n">
        <v>44690</v>
      </c>
      <c r="C447" s="1" t="n">
        <v>45227</v>
      </c>
      <c r="D447" t="inlineStr">
        <is>
          <t>VÄSTRA GÖTALANDS LÄN</t>
        </is>
      </c>
      <c r="E447" t="inlineStr">
        <is>
          <t>ULRICEHAMN</t>
        </is>
      </c>
      <c r="F447" t="inlineStr">
        <is>
          <t>Kommuner</t>
        </is>
      </c>
      <c r="G447" t="n">
        <v>5.8</v>
      </c>
      <c r="H447" t="n">
        <v>1</v>
      </c>
      <c r="I447" t="n">
        <v>0</v>
      </c>
      <c r="J447" t="n">
        <v>0</v>
      </c>
      <c r="K447" t="n">
        <v>0</v>
      </c>
      <c r="L447" t="n">
        <v>0</v>
      </c>
      <c r="M447" t="n">
        <v>0</v>
      </c>
      <c r="N447" t="n">
        <v>0</v>
      </c>
      <c r="O447" t="n">
        <v>0</v>
      </c>
      <c r="P447" t="n">
        <v>0</v>
      </c>
      <c r="Q447" t="n">
        <v>1</v>
      </c>
      <c r="R447" s="2" t="inlineStr">
        <is>
          <t>Hasselmus</t>
        </is>
      </c>
      <c r="S447">
        <f>HYPERLINK("https://klasma.github.io/Logging_1491/artfynd/A 18959-2022 artfynd.xlsx", "A 18959-2022")</f>
        <v/>
      </c>
      <c r="T447">
        <f>HYPERLINK("https://klasma.github.io/Logging_1491/kartor/A 18959-2022 karta.png", "A 18959-2022")</f>
        <v/>
      </c>
      <c r="V447">
        <f>HYPERLINK("https://klasma.github.io/Logging_1491/klagomål/A 18959-2022 FSC-klagomål.docx", "A 18959-2022")</f>
        <v/>
      </c>
      <c r="W447">
        <f>HYPERLINK("https://klasma.github.io/Logging_1491/klagomålsmail/A 18959-2022 FSC-klagomål mail.docx", "A 18959-2022")</f>
        <v/>
      </c>
      <c r="X447">
        <f>HYPERLINK("https://klasma.github.io/Logging_1491/tillsyn/A 18959-2022 tillsynsbegäran.docx", "A 18959-2022")</f>
        <v/>
      </c>
      <c r="Y447">
        <f>HYPERLINK("https://klasma.github.io/Logging_1491/tillsynsmail/A 18959-2022 tillsynsbegäran mail.docx", "A 18959-2022")</f>
        <v/>
      </c>
    </row>
    <row r="448" ht="15" customHeight="1">
      <c r="A448" t="inlineStr">
        <is>
          <t>A 20640-2022</t>
        </is>
      </c>
      <c r="B448" s="1" t="n">
        <v>44700</v>
      </c>
      <c r="C448" s="1" t="n">
        <v>45227</v>
      </c>
      <c r="D448" t="inlineStr">
        <is>
          <t>VÄSTRA GÖTALANDS LÄN</t>
        </is>
      </c>
      <c r="E448" t="inlineStr">
        <is>
          <t>HÄRRYDA</t>
        </is>
      </c>
      <c r="G448" t="n">
        <v>0.5</v>
      </c>
      <c r="H448" t="n">
        <v>1</v>
      </c>
      <c r="I448" t="n">
        <v>0</v>
      </c>
      <c r="J448" t="n">
        <v>0</v>
      </c>
      <c r="K448" t="n">
        <v>0</v>
      </c>
      <c r="L448" t="n">
        <v>0</v>
      </c>
      <c r="M448" t="n">
        <v>0</v>
      </c>
      <c r="N448" t="n">
        <v>0</v>
      </c>
      <c r="O448" t="n">
        <v>0</v>
      </c>
      <c r="P448" t="n">
        <v>0</v>
      </c>
      <c r="Q448" t="n">
        <v>1</v>
      </c>
      <c r="R448" s="2" t="inlineStr">
        <is>
          <t>Revlummer</t>
        </is>
      </c>
      <c r="S448">
        <f>HYPERLINK("https://klasma.github.io/Logging_1401/artfynd/A 20640-2022 artfynd.xlsx", "A 20640-2022")</f>
        <v/>
      </c>
      <c r="T448">
        <f>HYPERLINK("https://klasma.github.io/Logging_1401/kartor/A 20640-2022 karta.png", "A 20640-2022")</f>
        <v/>
      </c>
      <c r="V448">
        <f>HYPERLINK("https://klasma.github.io/Logging_1401/klagomål/A 20640-2022 FSC-klagomål.docx", "A 20640-2022")</f>
        <v/>
      </c>
      <c r="W448">
        <f>HYPERLINK("https://klasma.github.io/Logging_1401/klagomålsmail/A 20640-2022 FSC-klagomål mail.docx", "A 20640-2022")</f>
        <v/>
      </c>
      <c r="X448">
        <f>HYPERLINK("https://klasma.github.io/Logging_1401/tillsyn/A 20640-2022 tillsynsbegäran.docx", "A 20640-2022")</f>
        <v/>
      </c>
      <c r="Y448">
        <f>HYPERLINK("https://klasma.github.io/Logging_1401/tillsynsmail/A 20640-2022 tillsynsbegäran mail.docx", "A 20640-2022")</f>
        <v/>
      </c>
    </row>
    <row r="449" ht="15" customHeight="1">
      <c r="A449" t="inlineStr">
        <is>
          <t>A 23151-2022</t>
        </is>
      </c>
      <c r="B449" s="1" t="n">
        <v>44719</v>
      </c>
      <c r="C449" s="1" t="n">
        <v>45227</v>
      </c>
      <c r="D449" t="inlineStr">
        <is>
          <t>VÄSTRA GÖTALANDS LÄN</t>
        </is>
      </c>
      <c r="E449" t="inlineStr">
        <is>
          <t>TANUM</t>
        </is>
      </c>
      <c r="G449" t="n">
        <v>4</v>
      </c>
      <c r="H449" t="n">
        <v>1</v>
      </c>
      <c r="I449" t="n">
        <v>0</v>
      </c>
      <c r="J449" t="n">
        <v>0</v>
      </c>
      <c r="K449" t="n">
        <v>0</v>
      </c>
      <c r="L449" t="n">
        <v>0</v>
      </c>
      <c r="M449" t="n">
        <v>0</v>
      </c>
      <c r="N449" t="n">
        <v>0</v>
      </c>
      <c r="O449" t="n">
        <v>0</v>
      </c>
      <c r="P449" t="n">
        <v>0</v>
      </c>
      <c r="Q449" t="n">
        <v>1</v>
      </c>
      <c r="R449" s="2" t="inlineStr">
        <is>
          <t>Blåsippa</t>
        </is>
      </c>
      <c r="S449">
        <f>HYPERLINK("https://klasma.github.io/Logging_1435/artfynd/A 23151-2022 artfynd.xlsx", "A 23151-2022")</f>
        <v/>
      </c>
      <c r="T449">
        <f>HYPERLINK("https://klasma.github.io/Logging_1435/kartor/A 23151-2022 karta.png", "A 23151-2022")</f>
        <v/>
      </c>
      <c r="V449">
        <f>HYPERLINK("https://klasma.github.io/Logging_1435/klagomål/A 23151-2022 FSC-klagomål.docx", "A 23151-2022")</f>
        <v/>
      </c>
      <c r="W449">
        <f>HYPERLINK("https://klasma.github.io/Logging_1435/klagomålsmail/A 23151-2022 FSC-klagomål mail.docx", "A 23151-2022")</f>
        <v/>
      </c>
      <c r="X449">
        <f>HYPERLINK("https://klasma.github.io/Logging_1435/tillsyn/A 23151-2022 tillsynsbegäran.docx", "A 23151-2022")</f>
        <v/>
      </c>
      <c r="Y449">
        <f>HYPERLINK("https://klasma.github.io/Logging_1435/tillsynsmail/A 23151-2022 tillsynsbegäran mail.docx", "A 23151-2022")</f>
        <v/>
      </c>
    </row>
    <row r="450" ht="15" customHeight="1">
      <c r="A450" t="inlineStr">
        <is>
          <t>A 25467-2022</t>
        </is>
      </c>
      <c r="B450" s="1" t="n">
        <v>44732</v>
      </c>
      <c r="C450" s="1" t="n">
        <v>45227</v>
      </c>
      <c r="D450" t="inlineStr">
        <is>
          <t>VÄSTRA GÖTALANDS LÄN</t>
        </is>
      </c>
      <c r="E450" t="inlineStr">
        <is>
          <t>TRANEMO</t>
        </is>
      </c>
      <c r="F450" t="inlineStr">
        <is>
          <t>Kommuner</t>
        </is>
      </c>
      <c r="G450" t="n">
        <v>11.8</v>
      </c>
      <c r="H450" t="n">
        <v>0</v>
      </c>
      <c r="I450" t="n">
        <v>0</v>
      </c>
      <c r="J450" t="n">
        <v>1</v>
      </c>
      <c r="K450" t="n">
        <v>0</v>
      </c>
      <c r="L450" t="n">
        <v>0</v>
      </c>
      <c r="M450" t="n">
        <v>0</v>
      </c>
      <c r="N450" t="n">
        <v>0</v>
      </c>
      <c r="O450" t="n">
        <v>1</v>
      </c>
      <c r="P450" t="n">
        <v>0</v>
      </c>
      <c r="Q450" t="n">
        <v>1</v>
      </c>
      <c r="R450" s="2" t="inlineStr">
        <is>
          <t>Borsttåg</t>
        </is>
      </c>
      <c r="S450">
        <f>HYPERLINK("https://klasma.github.io/Logging_1452/artfynd/A 25467-2022 artfynd.xlsx", "A 25467-2022")</f>
        <v/>
      </c>
      <c r="T450">
        <f>HYPERLINK("https://klasma.github.io/Logging_1452/kartor/A 25467-2022 karta.png", "A 25467-2022")</f>
        <v/>
      </c>
      <c r="V450">
        <f>HYPERLINK("https://klasma.github.io/Logging_1452/klagomål/A 25467-2022 FSC-klagomål.docx", "A 25467-2022")</f>
        <v/>
      </c>
      <c r="W450">
        <f>HYPERLINK("https://klasma.github.io/Logging_1452/klagomålsmail/A 25467-2022 FSC-klagomål mail.docx", "A 25467-2022")</f>
        <v/>
      </c>
      <c r="X450">
        <f>HYPERLINK("https://klasma.github.io/Logging_1452/tillsyn/A 25467-2022 tillsynsbegäran.docx", "A 25467-2022")</f>
        <v/>
      </c>
      <c r="Y450">
        <f>HYPERLINK("https://klasma.github.io/Logging_1452/tillsynsmail/A 25467-2022 tillsynsbegäran mail.docx", "A 25467-2022")</f>
        <v/>
      </c>
    </row>
    <row r="451" ht="15" customHeight="1">
      <c r="A451" t="inlineStr">
        <is>
          <t>A 25806-2022</t>
        </is>
      </c>
      <c r="B451" s="1" t="n">
        <v>44733</v>
      </c>
      <c r="C451" s="1" t="n">
        <v>45227</v>
      </c>
      <c r="D451" t="inlineStr">
        <is>
          <t>VÄSTRA GÖTALANDS LÄN</t>
        </is>
      </c>
      <c r="E451" t="inlineStr">
        <is>
          <t>UDDEVALLA</t>
        </is>
      </c>
      <c r="G451" t="n">
        <v>31.2</v>
      </c>
      <c r="H451" t="n">
        <v>1</v>
      </c>
      <c r="I451" t="n">
        <v>0</v>
      </c>
      <c r="J451" t="n">
        <v>1</v>
      </c>
      <c r="K451" t="n">
        <v>0</v>
      </c>
      <c r="L451" t="n">
        <v>0</v>
      </c>
      <c r="M451" t="n">
        <v>0</v>
      </c>
      <c r="N451" t="n">
        <v>0</v>
      </c>
      <c r="O451" t="n">
        <v>1</v>
      </c>
      <c r="P451" t="n">
        <v>0</v>
      </c>
      <c r="Q451" t="n">
        <v>1</v>
      </c>
      <c r="R451" s="2" t="inlineStr">
        <is>
          <t>Duvhök</t>
        </is>
      </c>
      <c r="S451">
        <f>HYPERLINK("https://klasma.github.io/Logging_1485/artfynd/A 25806-2022 artfynd.xlsx", "A 25806-2022")</f>
        <v/>
      </c>
      <c r="T451">
        <f>HYPERLINK("https://klasma.github.io/Logging_1485/kartor/A 25806-2022 karta.png", "A 25806-2022")</f>
        <v/>
      </c>
      <c r="V451">
        <f>HYPERLINK("https://klasma.github.io/Logging_1485/klagomål/A 25806-2022 FSC-klagomål.docx", "A 25806-2022")</f>
        <v/>
      </c>
      <c r="W451">
        <f>HYPERLINK("https://klasma.github.io/Logging_1485/klagomålsmail/A 25806-2022 FSC-klagomål mail.docx", "A 25806-2022")</f>
        <v/>
      </c>
      <c r="X451">
        <f>HYPERLINK("https://klasma.github.io/Logging_1485/tillsyn/A 25806-2022 tillsynsbegäran.docx", "A 25806-2022")</f>
        <v/>
      </c>
      <c r="Y451">
        <f>HYPERLINK("https://klasma.github.io/Logging_1485/tillsynsmail/A 25806-2022 tillsynsbegäran mail.docx", "A 25806-2022")</f>
        <v/>
      </c>
    </row>
    <row r="452" ht="15" customHeight="1">
      <c r="A452" t="inlineStr">
        <is>
          <t>A 26040-2022</t>
        </is>
      </c>
      <c r="B452" s="1" t="n">
        <v>44734</v>
      </c>
      <c r="C452" s="1" t="n">
        <v>45227</v>
      </c>
      <c r="D452" t="inlineStr">
        <is>
          <t>VÄSTRA GÖTALANDS LÄN</t>
        </is>
      </c>
      <c r="E452" t="inlineStr">
        <is>
          <t>MUNKEDAL</t>
        </is>
      </c>
      <c r="F452" t="inlineStr">
        <is>
          <t>Övriga Aktiebolag</t>
        </is>
      </c>
      <c r="G452" t="n">
        <v>3.2</v>
      </c>
      <c r="H452" t="n">
        <v>0</v>
      </c>
      <c r="I452" t="n">
        <v>1</v>
      </c>
      <c r="J452" t="n">
        <v>0</v>
      </c>
      <c r="K452" t="n">
        <v>0</v>
      </c>
      <c r="L452" t="n">
        <v>0</v>
      </c>
      <c r="M452" t="n">
        <v>0</v>
      </c>
      <c r="N452" t="n">
        <v>0</v>
      </c>
      <c r="O452" t="n">
        <v>0</v>
      </c>
      <c r="P452" t="n">
        <v>0</v>
      </c>
      <c r="Q452" t="n">
        <v>1</v>
      </c>
      <c r="R452" s="2" t="inlineStr">
        <is>
          <t>Vätteros</t>
        </is>
      </c>
      <c r="S452">
        <f>HYPERLINK("https://klasma.github.io/Logging_1430/artfynd/A 26040-2022 artfynd.xlsx", "A 26040-2022")</f>
        <v/>
      </c>
      <c r="T452">
        <f>HYPERLINK("https://klasma.github.io/Logging_1430/kartor/A 26040-2022 karta.png", "A 26040-2022")</f>
        <v/>
      </c>
      <c r="V452">
        <f>HYPERLINK("https://klasma.github.io/Logging_1430/klagomål/A 26040-2022 FSC-klagomål.docx", "A 26040-2022")</f>
        <v/>
      </c>
      <c r="W452">
        <f>HYPERLINK("https://klasma.github.io/Logging_1430/klagomålsmail/A 26040-2022 FSC-klagomål mail.docx", "A 26040-2022")</f>
        <v/>
      </c>
      <c r="X452">
        <f>HYPERLINK("https://klasma.github.io/Logging_1430/tillsyn/A 26040-2022 tillsynsbegäran.docx", "A 26040-2022")</f>
        <v/>
      </c>
      <c r="Y452">
        <f>HYPERLINK("https://klasma.github.io/Logging_1430/tillsynsmail/A 26040-2022 tillsynsbegäran mail.docx", "A 26040-2022")</f>
        <v/>
      </c>
    </row>
    <row r="453" ht="15" customHeight="1">
      <c r="A453" t="inlineStr">
        <is>
          <t>A 26867-2022</t>
        </is>
      </c>
      <c r="B453" s="1" t="n">
        <v>44740</v>
      </c>
      <c r="C453" s="1" t="n">
        <v>45227</v>
      </c>
      <c r="D453" t="inlineStr">
        <is>
          <t>VÄSTRA GÖTALANDS LÄN</t>
        </is>
      </c>
      <c r="E453" t="inlineStr">
        <is>
          <t>BENGTSFORS</t>
        </is>
      </c>
      <c r="G453" t="n">
        <v>8.5</v>
      </c>
      <c r="H453" t="n">
        <v>0</v>
      </c>
      <c r="I453" t="n">
        <v>1</v>
      </c>
      <c r="J453" t="n">
        <v>0</v>
      </c>
      <c r="K453" t="n">
        <v>0</v>
      </c>
      <c r="L453" t="n">
        <v>0</v>
      </c>
      <c r="M453" t="n">
        <v>0</v>
      </c>
      <c r="N453" t="n">
        <v>0</v>
      </c>
      <c r="O453" t="n">
        <v>0</v>
      </c>
      <c r="P453" t="n">
        <v>0</v>
      </c>
      <c r="Q453" t="n">
        <v>1</v>
      </c>
      <c r="R453" s="2" t="inlineStr">
        <is>
          <t>Vedticka</t>
        </is>
      </c>
      <c r="S453">
        <f>HYPERLINK("https://klasma.github.io/Logging_1460/artfynd/A 26867-2022 artfynd.xlsx", "A 26867-2022")</f>
        <v/>
      </c>
      <c r="T453">
        <f>HYPERLINK("https://klasma.github.io/Logging_1460/kartor/A 26867-2022 karta.png", "A 26867-2022")</f>
        <v/>
      </c>
      <c r="V453">
        <f>HYPERLINK("https://klasma.github.io/Logging_1460/klagomål/A 26867-2022 FSC-klagomål.docx", "A 26867-2022")</f>
        <v/>
      </c>
      <c r="W453">
        <f>HYPERLINK("https://klasma.github.io/Logging_1460/klagomålsmail/A 26867-2022 FSC-klagomål mail.docx", "A 26867-2022")</f>
        <v/>
      </c>
      <c r="X453">
        <f>HYPERLINK("https://klasma.github.io/Logging_1460/tillsyn/A 26867-2022 tillsynsbegäran.docx", "A 26867-2022")</f>
        <v/>
      </c>
      <c r="Y453">
        <f>HYPERLINK("https://klasma.github.io/Logging_1460/tillsynsmail/A 26867-2022 tillsynsbegäran mail.docx", "A 26867-2022")</f>
        <v/>
      </c>
    </row>
    <row r="454" ht="15" customHeight="1">
      <c r="A454" t="inlineStr">
        <is>
          <t>A 29215-2022</t>
        </is>
      </c>
      <c r="B454" s="1" t="n">
        <v>44750</v>
      </c>
      <c r="C454" s="1" t="n">
        <v>45227</v>
      </c>
      <c r="D454" t="inlineStr">
        <is>
          <t>VÄSTRA GÖTALANDS LÄN</t>
        </is>
      </c>
      <c r="E454" t="inlineStr">
        <is>
          <t>BENGTSFORS</t>
        </is>
      </c>
      <c r="G454" t="n">
        <v>9.9</v>
      </c>
      <c r="H454" t="n">
        <v>0</v>
      </c>
      <c r="I454" t="n">
        <v>1</v>
      </c>
      <c r="J454" t="n">
        <v>0</v>
      </c>
      <c r="K454" t="n">
        <v>0</v>
      </c>
      <c r="L454" t="n">
        <v>0</v>
      </c>
      <c r="M454" t="n">
        <v>0</v>
      </c>
      <c r="N454" t="n">
        <v>0</v>
      </c>
      <c r="O454" t="n">
        <v>0</v>
      </c>
      <c r="P454" t="n">
        <v>0</v>
      </c>
      <c r="Q454" t="n">
        <v>1</v>
      </c>
      <c r="R454" s="2" t="inlineStr">
        <is>
          <t>Västlig hakmossa</t>
        </is>
      </c>
      <c r="S454">
        <f>HYPERLINK("https://klasma.github.io/Logging_1460/artfynd/A 29215-2022 artfynd.xlsx", "A 29215-2022")</f>
        <v/>
      </c>
      <c r="T454">
        <f>HYPERLINK("https://klasma.github.io/Logging_1460/kartor/A 29215-2022 karta.png", "A 29215-2022")</f>
        <v/>
      </c>
      <c r="V454">
        <f>HYPERLINK("https://klasma.github.io/Logging_1460/klagomål/A 29215-2022 FSC-klagomål.docx", "A 29215-2022")</f>
        <v/>
      </c>
      <c r="W454">
        <f>HYPERLINK("https://klasma.github.io/Logging_1460/klagomålsmail/A 29215-2022 FSC-klagomål mail.docx", "A 29215-2022")</f>
        <v/>
      </c>
      <c r="X454">
        <f>HYPERLINK("https://klasma.github.io/Logging_1460/tillsyn/A 29215-2022 tillsynsbegäran.docx", "A 29215-2022")</f>
        <v/>
      </c>
      <c r="Y454">
        <f>HYPERLINK("https://klasma.github.io/Logging_1460/tillsynsmail/A 29215-2022 tillsynsbegäran mail.docx", "A 29215-2022")</f>
        <v/>
      </c>
    </row>
    <row r="455" ht="15" customHeight="1">
      <c r="A455" t="inlineStr">
        <is>
          <t>A 29376-2022</t>
        </is>
      </c>
      <c r="B455" s="1" t="n">
        <v>44753</v>
      </c>
      <c r="C455" s="1" t="n">
        <v>45227</v>
      </c>
      <c r="D455" t="inlineStr">
        <is>
          <t>VÄSTRA GÖTALANDS LÄN</t>
        </is>
      </c>
      <c r="E455" t="inlineStr">
        <is>
          <t>VÄNERSBORG</t>
        </is>
      </c>
      <c r="F455" t="inlineStr">
        <is>
          <t>Sveaskog</t>
        </is>
      </c>
      <c r="G455" t="n">
        <v>8.300000000000001</v>
      </c>
      <c r="H455" t="n">
        <v>1</v>
      </c>
      <c r="I455" t="n">
        <v>0</v>
      </c>
      <c r="J455" t="n">
        <v>0</v>
      </c>
      <c r="K455" t="n">
        <v>0</v>
      </c>
      <c r="L455" t="n">
        <v>0</v>
      </c>
      <c r="M455" t="n">
        <v>0</v>
      </c>
      <c r="N455" t="n">
        <v>0</v>
      </c>
      <c r="O455" t="n">
        <v>0</v>
      </c>
      <c r="P455" t="n">
        <v>0</v>
      </c>
      <c r="Q455" t="n">
        <v>1</v>
      </c>
      <c r="R455" s="2" t="inlineStr">
        <is>
          <t>Revlummer</t>
        </is>
      </c>
      <c r="S455">
        <f>HYPERLINK("https://klasma.github.io/Logging_1487/artfynd/A 29376-2022 artfynd.xlsx", "A 29376-2022")</f>
        <v/>
      </c>
      <c r="T455">
        <f>HYPERLINK("https://klasma.github.io/Logging_1487/kartor/A 29376-2022 karta.png", "A 29376-2022")</f>
        <v/>
      </c>
      <c r="V455">
        <f>HYPERLINK("https://klasma.github.io/Logging_1487/klagomål/A 29376-2022 FSC-klagomål.docx", "A 29376-2022")</f>
        <v/>
      </c>
      <c r="W455">
        <f>HYPERLINK("https://klasma.github.io/Logging_1487/klagomålsmail/A 29376-2022 FSC-klagomål mail.docx", "A 29376-2022")</f>
        <v/>
      </c>
      <c r="X455">
        <f>HYPERLINK("https://klasma.github.io/Logging_1487/tillsyn/A 29376-2022 tillsynsbegäran.docx", "A 29376-2022")</f>
        <v/>
      </c>
      <c r="Y455">
        <f>HYPERLINK("https://klasma.github.io/Logging_1487/tillsynsmail/A 29376-2022 tillsynsbegäran mail.docx", "A 29376-2022")</f>
        <v/>
      </c>
    </row>
    <row r="456" ht="15" customHeight="1">
      <c r="A456" t="inlineStr">
        <is>
          <t>A 29369-2022</t>
        </is>
      </c>
      <c r="B456" s="1" t="n">
        <v>44753</v>
      </c>
      <c r="C456" s="1" t="n">
        <v>45227</v>
      </c>
      <c r="D456" t="inlineStr">
        <is>
          <t>VÄSTRA GÖTALANDS LÄN</t>
        </is>
      </c>
      <c r="E456" t="inlineStr">
        <is>
          <t>VÄNERSBORG</t>
        </is>
      </c>
      <c r="F456" t="inlineStr">
        <is>
          <t>Sveaskog</t>
        </is>
      </c>
      <c r="G456" t="n">
        <v>9.9</v>
      </c>
      <c r="H456" t="n">
        <v>0</v>
      </c>
      <c r="I456" t="n">
        <v>1</v>
      </c>
      <c r="J456" t="n">
        <v>0</v>
      </c>
      <c r="K456" t="n">
        <v>0</v>
      </c>
      <c r="L456" t="n">
        <v>0</v>
      </c>
      <c r="M456" t="n">
        <v>0</v>
      </c>
      <c r="N456" t="n">
        <v>0</v>
      </c>
      <c r="O456" t="n">
        <v>0</v>
      </c>
      <c r="P456" t="n">
        <v>0</v>
      </c>
      <c r="Q456" t="n">
        <v>1</v>
      </c>
      <c r="R456" s="2" t="inlineStr">
        <is>
          <t>Blåmossa</t>
        </is>
      </c>
      <c r="S456">
        <f>HYPERLINK("https://klasma.github.io/Logging_1487/artfynd/A 29369-2022 artfynd.xlsx", "A 29369-2022")</f>
        <v/>
      </c>
      <c r="T456">
        <f>HYPERLINK("https://klasma.github.io/Logging_1487/kartor/A 29369-2022 karta.png", "A 29369-2022")</f>
        <v/>
      </c>
      <c r="V456">
        <f>HYPERLINK("https://klasma.github.io/Logging_1487/klagomål/A 29369-2022 FSC-klagomål.docx", "A 29369-2022")</f>
        <v/>
      </c>
      <c r="W456">
        <f>HYPERLINK("https://klasma.github.io/Logging_1487/klagomålsmail/A 29369-2022 FSC-klagomål mail.docx", "A 29369-2022")</f>
        <v/>
      </c>
      <c r="X456">
        <f>HYPERLINK("https://klasma.github.io/Logging_1487/tillsyn/A 29369-2022 tillsynsbegäran.docx", "A 29369-2022")</f>
        <v/>
      </c>
      <c r="Y456">
        <f>HYPERLINK("https://klasma.github.io/Logging_1487/tillsynsmail/A 29369-2022 tillsynsbegäran mail.docx", "A 29369-2022")</f>
        <v/>
      </c>
    </row>
    <row r="457" ht="15" customHeight="1">
      <c r="A457" t="inlineStr">
        <is>
          <t>A 29375-2022</t>
        </is>
      </c>
      <c r="B457" s="1" t="n">
        <v>44753</v>
      </c>
      <c r="C457" s="1" t="n">
        <v>45227</v>
      </c>
      <c r="D457" t="inlineStr">
        <is>
          <t>VÄSTRA GÖTALANDS LÄN</t>
        </is>
      </c>
      <c r="E457" t="inlineStr">
        <is>
          <t>VÄNERSBORG</t>
        </is>
      </c>
      <c r="F457" t="inlineStr">
        <is>
          <t>Sveaskog</t>
        </is>
      </c>
      <c r="G457" t="n">
        <v>4.6</v>
      </c>
      <c r="H457" t="n">
        <v>1</v>
      </c>
      <c r="I457" t="n">
        <v>1</v>
      </c>
      <c r="J457" t="n">
        <v>0</v>
      </c>
      <c r="K457" t="n">
        <v>0</v>
      </c>
      <c r="L457" t="n">
        <v>0</v>
      </c>
      <c r="M457" t="n">
        <v>0</v>
      </c>
      <c r="N457" t="n">
        <v>0</v>
      </c>
      <c r="O457" t="n">
        <v>0</v>
      </c>
      <c r="P457" t="n">
        <v>0</v>
      </c>
      <c r="Q457" t="n">
        <v>1</v>
      </c>
      <c r="R457" s="2" t="inlineStr">
        <is>
          <t>Purpurknipprot</t>
        </is>
      </c>
      <c r="S457">
        <f>HYPERLINK("https://klasma.github.io/Logging_1487/artfynd/A 29375-2022 artfynd.xlsx", "A 29375-2022")</f>
        <v/>
      </c>
      <c r="T457">
        <f>HYPERLINK("https://klasma.github.io/Logging_1487/kartor/A 29375-2022 karta.png", "A 29375-2022")</f>
        <v/>
      </c>
      <c r="V457">
        <f>HYPERLINK("https://klasma.github.io/Logging_1487/klagomål/A 29375-2022 FSC-klagomål.docx", "A 29375-2022")</f>
        <v/>
      </c>
      <c r="W457">
        <f>HYPERLINK("https://klasma.github.io/Logging_1487/klagomålsmail/A 29375-2022 FSC-klagomål mail.docx", "A 29375-2022")</f>
        <v/>
      </c>
      <c r="X457">
        <f>HYPERLINK("https://klasma.github.io/Logging_1487/tillsyn/A 29375-2022 tillsynsbegäran.docx", "A 29375-2022")</f>
        <v/>
      </c>
      <c r="Y457">
        <f>HYPERLINK("https://klasma.github.io/Logging_1487/tillsynsmail/A 29375-2022 tillsynsbegäran mail.docx", "A 29375-2022")</f>
        <v/>
      </c>
    </row>
    <row r="458" ht="15" customHeight="1">
      <c r="A458" t="inlineStr">
        <is>
          <t>A 29725-2022</t>
        </is>
      </c>
      <c r="B458" s="1" t="n">
        <v>44755</v>
      </c>
      <c r="C458" s="1" t="n">
        <v>45227</v>
      </c>
      <c r="D458" t="inlineStr">
        <is>
          <t>VÄSTRA GÖTALANDS LÄN</t>
        </is>
      </c>
      <c r="E458" t="inlineStr">
        <is>
          <t>TIBRO</t>
        </is>
      </c>
      <c r="G458" t="n">
        <v>2.6</v>
      </c>
      <c r="H458" t="n">
        <v>1</v>
      </c>
      <c r="I458" t="n">
        <v>0</v>
      </c>
      <c r="J458" t="n">
        <v>0</v>
      </c>
      <c r="K458" t="n">
        <v>1</v>
      </c>
      <c r="L458" t="n">
        <v>0</v>
      </c>
      <c r="M458" t="n">
        <v>0</v>
      </c>
      <c r="N458" t="n">
        <v>0</v>
      </c>
      <c r="O458" t="n">
        <v>1</v>
      </c>
      <c r="P458" t="n">
        <v>1</v>
      </c>
      <c r="Q458" t="n">
        <v>1</v>
      </c>
      <c r="R458" s="2" t="inlineStr">
        <is>
          <t>Knärot</t>
        </is>
      </c>
      <c r="S458">
        <f>HYPERLINK("https://klasma.github.io/Logging_1472/artfynd/A 29725-2022 artfynd.xlsx", "A 29725-2022")</f>
        <v/>
      </c>
      <c r="T458">
        <f>HYPERLINK("https://klasma.github.io/Logging_1472/kartor/A 29725-2022 karta.png", "A 29725-2022")</f>
        <v/>
      </c>
      <c r="U458">
        <f>HYPERLINK("https://klasma.github.io/Logging_1472/knärot/A 29725-2022 karta knärot.png", "A 29725-2022")</f>
        <v/>
      </c>
      <c r="V458">
        <f>HYPERLINK("https://klasma.github.io/Logging_1472/klagomål/A 29725-2022 FSC-klagomål.docx", "A 29725-2022")</f>
        <v/>
      </c>
      <c r="W458">
        <f>HYPERLINK("https://klasma.github.io/Logging_1472/klagomålsmail/A 29725-2022 FSC-klagomål mail.docx", "A 29725-2022")</f>
        <v/>
      </c>
      <c r="X458">
        <f>HYPERLINK("https://klasma.github.io/Logging_1472/tillsyn/A 29725-2022 tillsynsbegäran.docx", "A 29725-2022")</f>
        <v/>
      </c>
      <c r="Y458">
        <f>HYPERLINK("https://klasma.github.io/Logging_1472/tillsynsmail/A 29725-2022 tillsynsbegäran mail.docx", "A 29725-2022")</f>
        <v/>
      </c>
    </row>
    <row r="459" ht="15" customHeight="1">
      <c r="A459" t="inlineStr">
        <is>
          <t>A 30273-2022</t>
        </is>
      </c>
      <c r="B459" s="1" t="n">
        <v>44759</v>
      </c>
      <c r="C459" s="1" t="n">
        <v>45227</v>
      </c>
      <c r="D459" t="inlineStr">
        <is>
          <t>VÄSTRA GÖTALANDS LÄN</t>
        </is>
      </c>
      <c r="E459" t="inlineStr">
        <is>
          <t>LILLA EDET</t>
        </is>
      </c>
      <c r="G459" t="n">
        <v>12.5</v>
      </c>
      <c r="H459" t="n">
        <v>1</v>
      </c>
      <c r="I459" t="n">
        <v>0</v>
      </c>
      <c r="J459" t="n">
        <v>1</v>
      </c>
      <c r="K459" t="n">
        <v>0</v>
      </c>
      <c r="L459" t="n">
        <v>0</v>
      </c>
      <c r="M459" t="n">
        <v>0</v>
      </c>
      <c r="N459" t="n">
        <v>0</v>
      </c>
      <c r="O459" t="n">
        <v>1</v>
      </c>
      <c r="P459" t="n">
        <v>0</v>
      </c>
      <c r="Q459" t="n">
        <v>1</v>
      </c>
      <c r="R459" s="2" t="inlineStr">
        <is>
          <t>Ärtsångare</t>
        </is>
      </c>
      <c r="S459">
        <f>HYPERLINK("https://klasma.github.io/Logging_1462/artfynd/A 30273-2022 artfynd.xlsx", "A 30273-2022")</f>
        <v/>
      </c>
      <c r="T459">
        <f>HYPERLINK("https://klasma.github.io/Logging_1462/kartor/A 30273-2022 karta.png", "A 30273-2022")</f>
        <v/>
      </c>
      <c r="V459">
        <f>HYPERLINK("https://klasma.github.io/Logging_1462/klagomål/A 30273-2022 FSC-klagomål.docx", "A 30273-2022")</f>
        <v/>
      </c>
      <c r="W459">
        <f>HYPERLINK("https://klasma.github.io/Logging_1462/klagomålsmail/A 30273-2022 FSC-klagomål mail.docx", "A 30273-2022")</f>
        <v/>
      </c>
      <c r="X459">
        <f>HYPERLINK("https://klasma.github.io/Logging_1462/tillsyn/A 30273-2022 tillsynsbegäran.docx", "A 30273-2022")</f>
        <v/>
      </c>
      <c r="Y459">
        <f>HYPERLINK("https://klasma.github.io/Logging_1462/tillsynsmail/A 30273-2022 tillsynsbegäran mail.docx", "A 30273-2022")</f>
        <v/>
      </c>
    </row>
    <row r="460" ht="15" customHeight="1">
      <c r="A460" t="inlineStr">
        <is>
          <t>A 30771-2022</t>
        </is>
      </c>
      <c r="B460" s="1" t="n">
        <v>44764</v>
      </c>
      <c r="C460" s="1" t="n">
        <v>45227</v>
      </c>
      <c r="D460" t="inlineStr">
        <is>
          <t>VÄSTRA GÖTALANDS LÄN</t>
        </is>
      </c>
      <c r="E460" t="inlineStr">
        <is>
          <t>SVENLJUNGA</t>
        </is>
      </c>
      <c r="G460" t="n">
        <v>1.8</v>
      </c>
      <c r="H460" t="n">
        <v>0</v>
      </c>
      <c r="I460" t="n">
        <v>0</v>
      </c>
      <c r="J460" t="n">
        <v>1</v>
      </c>
      <c r="K460" t="n">
        <v>0</v>
      </c>
      <c r="L460" t="n">
        <v>0</v>
      </c>
      <c r="M460" t="n">
        <v>0</v>
      </c>
      <c r="N460" t="n">
        <v>0</v>
      </c>
      <c r="O460" t="n">
        <v>1</v>
      </c>
      <c r="P460" t="n">
        <v>0</v>
      </c>
      <c r="Q460" t="n">
        <v>1</v>
      </c>
      <c r="R460" s="2" t="inlineStr">
        <is>
          <t>Grynig filtlav</t>
        </is>
      </c>
      <c r="S460">
        <f>HYPERLINK("https://klasma.github.io/Logging_1465/artfynd/A 30771-2022 artfynd.xlsx", "A 30771-2022")</f>
        <v/>
      </c>
      <c r="T460">
        <f>HYPERLINK("https://klasma.github.io/Logging_1465/kartor/A 30771-2022 karta.png", "A 30771-2022")</f>
        <v/>
      </c>
      <c r="V460">
        <f>HYPERLINK("https://klasma.github.io/Logging_1465/klagomål/A 30771-2022 FSC-klagomål.docx", "A 30771-2022")</f>
        <v/>
      </c>
      <c r="W460">
        <f>HYPERLINK("https://klasma.github.io/Logging_1465/klagomålsmail/A 30771-2022 FSC-klagomål mail.docx", "A 30771-2022")</f>
        <v/>
      </c>
      <c r="X460">
        <f>HYPERLINK("https://klasma.github.io/Logging_1465/tillsyn/A 30771-2022 tillsynsbegäran.docx", "A 30771-2022")</f>
        <v/>
      </c>
      <c r="Y460">
        <f>HYPERLINK("https://klasma.github.io/Logging_1465/tillsynsmail/A 30771-2022 tillsynsbegäran mail.docx", "A 30771-2022")</f>
        <v/>
      </c>
    </row>
    <row r="461" ht="15" customHeight="1">
      <c r="A461" t="inlineStr">
        <is>
          <t>A 34381-2022</t>
        </is>
      </c>
      <c r="B461" s="1" t="n">
        <v>44792</v>
      </c>
      <c r="C461" s="1" t="n">
        <v>45227</v>
      </c>
      <c r="D461" t="inlineStr">
        <is>
          <t>VÄSTRA GÖTALANDS LÄN</t>
        </is>
      </c>
      <c r="E461" t="inlineStr">
        <is>
          <t>VÄNERSBORG</t>
        </is>
      </c>
      <c r="G461" t="n">
        <v>6.6</v>
      </c>
      <c r="H461" t="n">
        <v>0</v>
      </c>
      <c r="I461" t="n">
        <v>1</v>
      </c>
      <c r="J461" t="n">
        <v>0</v>
      </c>
      <c r="K461" t="n">
        <v>0</v>
      </c>
      <c r="L461" t="n">
        <v>0</v>
      </c>
      <c r="M461" t="n">
        <v>0</v>
      </c>
      <c r="N461" t="n">
        <v>0</v>
      </c>
      <c r="O461" t="n">
        <v>0</v>
      </c>
      <c r="P461" t="n">
        <v>0</v>
      </c>
      <c r="Q461" t="n">
        <v>1</v>
      </c>
      <c r="R461" s="2" t="inlineStr">
        <is>
          <t>Skogsbräsma</t>
        </is>
      </c>
      <c r="S461">
        <f>HYPERLINK("https://klasma.github.io/Logging_1487/artfynd/A 34381-2022 artfynd.xlsx", "A 34381-2022")</f>
        <v/>
      </c>
      <c r="T461">
        <f>HYPERLINK("https://klasma.github.io/Logging_1487/kartor/A 34381-2022 karta.png", "A 34381-2022")</f>
        <v/>
      </c>
      <c r="V461">
        <f>HYPERLINK("https://klasma.github.io/Logging_1487/klagomål/A 34381-2022 FSC-klagomål.docx", "A 34381-2022")</f>
        <v/>
      </c>
      <c r="W461">
        <f>HYPERLINK("https://klasma.github.io/Logging_1487/klagomålsmail/A 34381-2022 FSC-klagomål mail.docx", "A 34381-2022")</f>
        <v/>
      </c>
      <c r="X461">
        <f>HYPERLINK("https://klasma.github.io/Logging_1487/tillsyn/A 34381-2022 tillsynsbegäran.docx", "A 34381-2022")</f>
        <v/>
      </c>
      <c r="Y461">
        <f>HYPERLINK("https://klasma.github.io/Logging_1487/tillsynsmail/A 34381-2022 tillsynsbegäran mail.docx", "A 34381-2022")</f>
        <v/>
      </c>
    </row>
    <row r="462" ht="15" customHeight="1">
      <c r="A462" t="inlineStr">
        <is>
          <t>A 34918-2022</t>
        </is>
      </c>
      <c r="B462" s="1" t="n">
        <v>44796</v>
      </c>
      <c r="C462" s="1" t="n">
        <v>45227</v>
      </c>
      <c r="D462" t="inlineStr">
        <is>
          <t>VÄSTRA GÖTALANDS LÄN</t>
        </is>
      </c>
      <c r="E462" t="inlineStr">
        <is>
          <t>VARA</t>
        </is>
      </c>
      <c r="G462" t="n">
        <v>3.3</v>
      </c>
      <c r="H462" t="n">
        <v>0</v>
      </c>
      <c r="I462" t="n">
        <v>1</v>
      </c>
      <c r="J462" t="n">
        <v>0</v>
      </c>
      <c r="K462" t="n">
        <v>0</v>
      </c>
      <c r="L462" t="n">
        <v>0</v>
      </c>
      <c r="M462" t="n">
        <v>0</v>
      </c>
      <c r="N462" t="n">
        <v>0</v>
      </c>
      <c r="O462" t="n">
        <v>0</v>
      </c>
      <c r="P462" t="n">
        <v>0</v>
      </c>
      <c r="Q462" t="n">
        <v>1</v>
      </c>
      <c r="R462" s="2" t="inlineStr">
        <is>
          <t>Kamjordstjärna</t>
        </is>
      </c>
      <c r="S462">
        <f>HYPERLINK("https://klasma.github.io/Logging_1470/artfynd/A 34918-2022 artfynd.xlsx", "A 34918-2022")</f>
        <v/>
      </c>
      <c r="T462">
        <f>HYPERLINK("https://klasma.github.io/Logging_1470/kartor/A 34918-2022 karta.png", "A 34918-2022")</f>
        <v/>
      </c>
      <c r="V462">
        <f>HYPERLINK("https://klasma.github.io/Logging_1470/klagomål/A 34918-2022 FSC-klagomål.docx", "A 34918-2022")</f>
        <v/>
      </c>
      <c r="W462">
        <f>HYPERLINK("https://klasma.github.io/Logging_1470/klagomålsmail/A 34918-2022 FSC-klagomål mail.docx", "A 34918-2022")</f>
        <v/>
      </c>
      <c r="X462">
        <f>HYPERLINK("https://klasma.github.io/Logging_1470/tillsyn/A 34918-2022 tillsynsbegäran.docx", "A 34918-2022")</f>
        <v/>
      </c>
      <c r="Y462">
        <f>HYPERLINK("https://klasma.github.io/Logging_1470/tillsynsmail/A 34918-2022 tillsynsbegäran mail.docx", "A 34918-2022")</f>
        <v/>
      </c>
    </row>
    <row r="463" ht="15" customHeight="1">
      <c r="A463" t="inlineStr">
        <is>
          <t>A 35454-2022</t>
        </is>
      </c>
      <c r="B463" s="1" t="n">
        <v>44798</v>
      </c>
      <c r="C463" s="1" t="n">
        <v>45227</v>
      </c>
      <c r="D463" t="inlineStr">
        <is>
          <t>VÄSTRA GÖTALANDS LÄN</t>
        </is>
      </c>
      <c r="E463" t="inlineStr">
        <is>
          <t>MELLERUD</t>
        </is>
      </c>
      <c r="G463" t="n">
        <v>1.8</v>
      </c>
      <c r="H463" t="n">
        <v>0</v>
      </c>
      <c r="I463" t="n">
        <v>0</v>
      </c>
      <c r="J463" t="n">
        <v>1</v>
      </c>
      <c r="K463" t="n">
        <v>0</v>
      </c>
      <c r="L463" t="n">
        <v>0</v>
      </c>
      <c r="M463" t="n">
        <v>0</v>
      </c>
      <c r="N463" t="n">
        <v>0</v>
      </c>
      <c r="O463" t="n">
        <v>1</v>
      </c>
      <c r="P463" t="n">
        <v>0</v>
      </c>
      <c r="Q463" t="n">
        <v>1</v>
      </c>
      <c r="R463" s="2" t="inlineStr">
        <is>
          <t>Borsttåg</t>
        </is>
      </c>
      <c r="S463">
        <f>HYPERLINK("https://klasma.github.io/Logging_1461/artfynd/A 35454-2022 artfynd.xlsx", "A 35454-2022")</f>
        <v/>
      </c>
      <c r="T463">
        <f>HYPERLINK("https://klasma.github.io/Logging_1461/kartor/A 35454-2022 karta.png", "A 35454-2022")</f>
        <v/>
      </c>
      <c r="V463">
        <f>HYPERLINK("https://klasma.github.io/Logging_1461/klagomål/A 35454-2022 FSC-klagomål.docx", "A 35454-2022")</f>
        <v/>
      </c>
      <c r="W463">
        <f>HYPERLINK("https://klasma.github.io/Logging_1461/klagomålsmail/A 35454-2022 FSC-klagomål mail.docx", "A 35454-2022")</f>
        <v/>
      </c>
      <c r="X463">
        <f>HYPERLINK("https://klasma.github.io/Logging_1461/tillsyn/A 35454-2022 tillsynsbegäran.docx", "A 35454-2022")</f>
        <v/>
      </c>
      <c r="Y463">
        <f>HYPERLINK("https://klasma.github.io/Logging_1461/tillsynsmail/A 35454-2022 tillsynsbegäran mail.docx", "A 35454-2022")</f>
        <v/>
      </c>
    </row>
    <row r="464" ht="15" customHeight="1">
      <c r="A464" t="inlineStr">
        <is>
          <t>A 36973-2022</t>
        </is>
      </c>
      <c r="B464" s="1" t="n">
        <v>44805</v>
      </c>
      <c r="C464" s="1" t="n">
        <v>45227</v>
      </c>
      <c r="D464" t="inlineStr">
        <is>
          <t>VÄSTRA GÖTALANDS LÄN</t>
        </is>
      </c>
      <c r="E464" t="inlineStr">
        <is>
          <t>FALKÖPING</t>
        </is>
      </c>
      <c r="G464" t="n">
        <v>5</v>
      </c>
      <c r="H464" t="n">
        <v>0</v>
      </c>
      <c r="I464" t="n">
        <v>1</v>
      </c>
      <c r="J464" t="n">
        <v>0</v>
      </c>
      <c r="K464" t="n">
        <v>0</v>
      </c>
      <c r="L464" t="n">
        <v>0</v>
      </c>
      <c r="M464" t="n">
        <v>0</v>
      </c>
      <c r="N464" t="n">
        <v>0</v>
      </c>
      <c r="O464" t="n">
        <v>0</v>
      </c>
      <c r="P464" t="n">
        <v>0</v>
      </c>
      <c r="Q464" t="n">
        <v>1</v>
      </c>
      <c r="R464" s="2" t="inlineStr">
        <is>
          <t>Svart trolldruva</t>
        </is>
      </c>
      <c r="S464">
        <f>HYPERLINK("https://klasma.github.io/Logging_1499/artfynd/A 36973-2022 artfynd.xlsx", "A 36973-2022")</f>
        <v/>
      </c>
      <c r="T464">
        <f>HYPERLINK("https://klasma.github.io/Logging_1499/kartor/A 36973-2022 karta.png", "A 36973-2022")</f>
        <v/>
      </c>
      <c r="V464">
        <f>HYPERLINK("https://klasma.github.io/Logging_1499/klagomål/A 36973-2022 FSC-klagomål.docx", "A 36973-2022")</f>
        <v/>
      </c>
      <c r="W464">
        <f>HYPERLINK("https://klasma.github.io/Logging_1499/klagomålsmail/A 36973-2022 FSC-klagomål mail.docx", "A 36973-2022")</f>
        <v/>
      </c>
      <c r="X464">
        <f>HYPERLINK("https://klasma.github.io/Logging_1499/tillsyn/A 36973-2022 tillsynsbegäran.docx", "A 36973-2022")</f>
        <v/>
      </c>
      <c r="Y464">
        <f>HYPERLINK("https://klasma.github.io/Logging_1499/tillsynsmail/A 36973-2022 tillsynsbegäran mail.docx", "A 36973-2022")</f>
        <v/>
      </c>
    </row>
    <row r="465" ht="15" customHeight="1">
      <c r="A465" t="inlineStr">
        <is>
          <t>A 37428-2022</t>
        </is>
      </c>
      <c r="B465" s="1" t="n">
        <v>44809</v>
      </c>
      <c r="C465" s="1" t="n">
        <v>45227</v>
      </c>
      <c r="D465" t="inlineStr">
        <is>
          <t>VÄSTRA GÖTALANDS LÄN</t>
        </is>
      </c>
      <c r="E465" t="inlineStr">
        <is>
          <t>ORUST</t>
        </is>
      </c>
      <c r="G465" t="n">
        <v>5.4</v>
      </c>
      <c r="H465" t="n">
        <v>1</v>
      </c>
      <c r="I465" t="n">
        <v>0</v>
      </c>
      <c r="J465" t="n">
        <v>0</v>
      </c>
      <c r="K465" t="n">
        <v>1</v>
      </c>
      <c r="L465" t="n">
        <v>0</v>
      </c>
      <c r="M465" t="n">
        <v>0</v>
      </c>
      <c r="N465" t="n">
        <v>0</v>
      </c>
      <c r="O465" t="n">
        <v>1</v>
      </c>
      <c r="P465" t="n">
        <v>1</v>
      </c>
      <c r="Q465" t="n">
        <v>1</v>
      </c>
      <c r="R465" s="2" t="inlineStr">
        <is>
          <t>Knärot</t>
        </is>
      </c>
      <c r="S465">
        <f>HYPERLINK("https://klasma.github.io/Logging_1421/artfynd/A 37428-2022 artfynd.xlsx", "A 37428-2022")</f>
        <v/>
      </c>
      <c r="T465">
        <f>HYPERLINK("https://klasma.github.io/Logging_1421/kartor/A 37428-2022 karta.png", "A 37428-2022")</f>
        <v/>
      </c>
      <c r="U465">
        <f>HYPERLINK("https://klasma.github.io/Logging_1421/knärot/A 37428-2022 karta knärot.png", "A 37428-2022")</f>
        <v/>
      </c>
      <c r="V465">
        <f>HYPERLINK("https://klasma.github.io/Logging_1421/klagomål/A 37428-2022 FSC-klagomål.docx", "A 37428-2022")</f>
        <v/>
      </c>
      <c r="W465">
        <f>HYPERLINK("https://klasma.github.io/Logging_1421/klagomålsmail/A 37428-2022 FSC-klagomål mail.docx", "A 37428-2022")</f>
        <v/>
      </c>
      <c r="X465">
        <f>HYPERLINK("https://klasma.github.io/Logging_1421/tillsyn/A 37428-2022 tillsynsbegäran.docx", "A 37428-2022")</f>
        <v/>
      </c>
      <c r="Y465">
        <f>HYPERLINK("https://klasma.github.io/Logging_1421/tillsynsmail/A 37428-2022 tillsynsbegäran mail.docx", "A 37428-2022")</f>
        <v/>
      </c>
    </row>
    <row r="466" ht="15" customHeight="1">
      <c r="A466" t="inlineStr">
        <is>
          <t>A 39092-2022</t>
        </is>
      </c>
      <c r="B466" s="1" t="n">
        <v>44817</v>
      </c>
      <c r="C466" s="1" t="n">
        <v>45227</v>
      </c>
      <c r="D466" t="inlineStr">
        <is>
          <t>VÄSTRA GÖTALANDS LÄN</t>
        </is>
      </c>
      <c r="E466" t="inlineStr">
        <is>
          <t>SKÖVDE</t>
        </is>
      </c>
      <c r="G466" t="n">
        <v>3.1</v>
      </c>
      <c r="H466" t="n">
        <v>0</v>
      </c>
      <c r="I466" t="n">
        <v>1</v>
      </c>
      <c r="J466" t="n">
        <v>0</v>
      </c>
      <c r="K466" t="n">
        <v>0</v>
      </c>
      <c r="L466" t="n">
        <v>0</v>
      </c>
      <c r="M466" t="n">
        <v>0</v>
      </c>
      <c r="N466" t="n">
        <v>0</v>
      </c>
      <c r="O466" t="n">
        <v>0</v>
      </c>
      <c r="P466" t="n">
        <v>0</v>
      </c>
      <c r="Q466" t="n">
        <v>1</v>
      </c>
      <c r="R466" s="2" t="inlineStr">
        <is>
          <t>Sårläka</t>
        </is>
      </c>
      <c r="S466">
        <f>HYPERLINK("https://klasma.github.io/Logging_1496/artfynd/A 39092-2022 artfynd.xlsx", "A 39092-2022")</f>
        <v/>
      </c>
      <c r="T466">
        <f>HYPERLINK("https://klasma.github.io/Logging_1496/kartor/A 39092-2022 karta.png", "A 39092-2022")</f>
        <v/>
      </c>
      <c r="V466">
        <f>HYPERLINK("https://klasma.github.io/Logging_1496/klagomål/A 39092-2022 FSC-klagomål.docx", "A 39092-2022")</f>
        <v/>
      </c>
      <c r="W466">
        <f>HYPERLINK("https://klasma.github.io/Logging_1496/klagomålsmail/A 39092-2022 FSC-klagomål mail.docx", "A 39092-2022")</f>
        <v/>
      </c>
      <c r="X466">
        <f>HYPERLINK("https://klasma.github.io/Logging_1496/tillsyn/A 39092-2022 tillsynsbegäran.docx", "A 39092-2022")</f>
        <v/>
      </c>
      <c r="Y466">
        <f>HYPERLINK("https://klasma.github.io/Logging_1496/tillsynsmail/A 39092-2022 tillsynsbegäran mail.docx", "A 39092-2022")</f>
        <v/>
      </c>
    </row>
    <row r="467" ht="15" customHeight="1">
      <c r="A467" t="inlineStr">
        <is>
          <t>A 40355-2022</t>
        </is>
      </c>
      <c r="B467" s="1" t="n">
        <v>44818</v>
      </c>
      <c r="C467" s="1" t="n">
        <v>45227</v>
      </c>
      <c r="D467" t="inlineStr">
        <is>
          <t>VÄSTRA GÖTALANDS LÄN</t>
        </is>
      </c>
      <c r="E467" t="inlineStr">
        <is>
          <t>DALS-ED</t>
        </is>
      </c>
      <c r="F467" t="inlineStr">
        <is>
          <t>Kyrkan</t>
        </is>
      </c>
      <c r="G467" t="n">
        <v>4.2</v>
      </c>
      <c r="H467" t="n">
        <v>0</v>
      </c>
      <c r="I467" t="n">
        <v>0</v>
      </c>
      <c r="J467" t="n">
        <v>0</v>
      </c>
      <c r="K467" t="n">
        <v>0</v>
      </c>
      <c r="L467" t="n">
        <v>1</v>
      </c>
      <c r="M467" t="n">
        <v>0</v>
      </c>
      <c r="N467" t="n">
        <v>0</v>
      </c>
      <c r="O467" t="n">
        <v>1</v>
      </c>
      <c r="P467" t="n">
        <v>1</v>
      </c>
      <c r="Q467" t="n">
        <v>1</v>
      </c>
      <c r="R467" s="2" t="inlineStr">
        <is>
          <t>Kantlök</t>
        </is>
      </c>
      <c r="S467">
        <f>HYPERLINK("https://klasma.github.io/Logging_1438/artfynd/A 40355-2022 artfynd.xlsx", "A 40355-2022")</f>
        <v/>
      </c>
      <c r="T467">
        <f>HYPERLINK("https://klasma.github.io/Logging_1438/kartor/A 40355-2022 karta.png", "A 40355-2022")</f>
        <v/>
      </c>
      <c r="V467">
        <f>HYPERLINK("https://klasma.github.io/Logging_1438/klagomål/A 40355-2022 FSC-klagomål.docx", "A 40355-2022")</f>
        <v/>
      </c>
      <c r="W467">
        <f>HYPERLINK("https://klasma.github.io/Logging_1438/klagomålsmail/A 40355-2022 FSC-klagomål mail.docx", "A 40355-2022")</f>
        <v/>
      </c>
      <c r="X467">
        <f>HYPERLINK("https://klasma.github.io/Logging_1438/tillsyn/A 40355-2022 tillsynsbegäran.docx", "A 40355-2022")</f>
        <v/>
      </c>
      <c r="Y467">
        <f>HYPERLINK("https://klasma.github.io/Logging_1438/tillsynsmail/A 40355-2022 tillsynsbegäran mail.docx", "A 40355-2022")</f>
        <v/>
      </c>
    </row>
    <row r="468" ht="15" customHeight="1">
      <c r="A468" t="inlineStr">
        <is>
          <t>A 41724-2022</t>
        </is>
      </c>
      <c r="B468" s="1" t="n">
        <v>44827</v>
      </c>
      <c r="C468" s="1" t="n">
        <v>45227</v>
      </c>
      <c r="D468" t="inlineStr">
        <is>
          <t>VÄSTRA GÖTALANDS LÄN</t>
        </is>
      </c>
      <c r="E468" t="inlineStr">
        <is>
          <t>GÖTENE</t>
        </is>
      </c>
      <c r="G468" t="n">
        <v>1.9</v>
      </c>
      <c r="H468" t="n">
        <v>0</v>
      </c>
      <c r="I468" t="n">
        <v>0</v>
      </c>
      <c r="J468" t="n">
        <v>1</v>
      </c>
      <c r="K468" t="n">
        <v>0</v>
      </c>
      <c r="L468" t="n">
        <v>0</v>
      </c>
      <c r="M468" t="n">
        <v>0</v>
      </c>
      <c r="N468" t="n">
        <v>0</v>
      </c>
      <c r="O468" t="n">
        <v>1</v>
      </c>
      <c r="P468" t="n">
        <v>0</v>
      </c>
      <c r="Q468" t="n">
        <v>1</v>
      </c>
      <c r="R468" s="2" t="inlineStr">
        <is>
          <t>Svinrot</t>
        </is>
      </c>
      <c r="S468">
        <f>HYPERLINK("https://klasma.github.io/Logging_1471/artfynd/A 41724-2022 artfynd.xlsx", "A 41724-2022")</f>
        <v/>
      </c>
      <c r="T468">
        <f>HYPERLINK("https://klasma.github.io/Logging_1471/kartor/A 41724-2022 karta.png", "A 41724-2022")</f>
        <v/>
      </c>
      <c r="V468">
        <f>HYPERLINK("https://klasma.github.io/Logging_1471/klagomål/A 41724-2022 FSC-klagomål.docx", "A 41724-2022")</f>
        <v/>
      </c>
      <c r="W468">
        <f>HYPERLINK("https://klasma.github.io/Logging_1471/klagomålsmail/A 41724-2022 FSC-klagomål mail.docx", "A 41724-2022")</f>
        <v/>
      </c>
      <c r="X468">
        <f>HYPERLINK("https://klasma.github.io/Logging_1471/tillsyn/A 41724-2022 tillsynsbegäran.docx", "A 41724-2022")</f>
        <v/>
      </c>
      <c r="Y468">
        <f>HYPERLINK("https://klasma.github.io/Logging_1471/tillsynsmail/A 41724-2022 tillsynsbegäran mail.docx", "A 41724-2022")</f>
        <v/>
      </c>
    </row>
    <row r="469" ht="15" customHeight="1">
      <c r="A469" t="inlineStr">
        <is>
          <t>A 42776-2022</t>
        </is>
      </c>
      <c r="B469" s="1" t="n">
        <v>44832</v>
      </c>
      <c r="C469" s="1" t="n">
        <v>45227</v>
      </c>
      <c r="D469" t="inlineStr">
        <is>
          <t>VÄSTRA GÖTALANDS LÄN</t>
        </is>
      </c>
      <c r="E469" t="inlineStr">
        <is>
          <t>GULLSPÅNG</t>
        </is>
      </c>
      <c r="G469" t="n">
        <v>4.7</v>
      </c>
      <c r="H469" t="n">
        <v>0</v>
      </c>
      <c r="I469" t="n">
        <v>0</v>
      </c>
      <c r="J469" t="n">
        <v>1</v>
      </c>
      <c r="K469" t="n">
        <v>0</v>
      </c>
      <c r="L469" t="n">
        <v>0</v>
      </c>
      <c r="M469" t="n">
        <v>0</v>
      </c>
      <c r="N469" t="n">
        <v>0</v>
      </c>
      <c r="O469" t="n">
        <v>1</v>
      </c>
      <c r="P469" t="n">
        <v>0</v>
      </c>
      <c r="Q469" t="n">
        <v>1</v>
      </c>
      <c r="R469" s="2" t="inlineStr">
        <is>
          <t>Svartnande kantarell</t>
        </is>
      </c>
      <c r="S469">
        <f>HYPERLINK("https://klasma.github.io/Logging_1447/artfynd/A 42776-2022 artfynd.xlsx", "A 42776-2022")</f>
        <v/>
      </c>
      <c r="T469">
        <f>HYPERLINK("https://klasma.github.io/Logging_1447/kartor/A 42776-2022 karta.png", "A 42776-2022")</f>
        <v/>
      </c>
      <c r="V469">
        <f>HYPERLINK("https://klasma.github.io/Logging_1447/klagomål/A 42776-2022 FSC-klagomål.docx", "A 42776-2022")</f>
        <v/>
      </c>
      <c r="W469">
        <f>HYPERLINK("https://klasma.github.io/Logging_1447/klagomålsmail/A 42776-2022 FSC-klagomål mail.docx", "A 42776-2022")</f>
        <v/>
      </c>
      <c r="X469">
        <f>HYPERLINK("https://klasma.github.io/Logging_1447/tillsyn/A 42776-2022 tillsynsbegäran.docx", "A 42776-2022")</f>
        <v/>
      </c>
      <c r="Y469">
        <f>HYPERLINK("https://klasma.github.io/Logging_1447/tillsynsmail/A 42776-2022 tillsynsbegäran mail.docx", "A 42776-2022")</f>
        <v/>
      </c>
    </row>
    <row r="470" ht="15" customHeight="1">
      <c r="A470" t="inlineStr">
        <is>
          <t>A 43859-2022</t>
        </is>
      </c>
      <c r="B470" s="1" t="n">
        <v>44837</v>
      </c>
      <c r="C470" s="1" t="n">
        <v>45227</v>
      </c>
      <c r="D470" t="inlineStr">
        <is>
          <t>VÄSTRA GÖTALANDS LÄN</t>
        </is>
      </c>
      <c r="E470" t="inlineStr">
        <is>
          <t>SKÖVDE</t>
        </is>
      </c>
      <c r="G470" t="n">
        <v>1</v>
      </c>
      <c r="H470" t="n">
        <v>0</v>
      </c>
      <c r="I470" t="n">
        <v>0</v>
      </c>
      <c r="J470" t="n">
        <v>1</v>
      </c>
      <c r="K470" t="n">
        <v>0</v>
      </c>
      <c r="L470" t="n">
        <v>0</v>
      </c>
      <c r="M470" t="n">
        <v>0</v>
      </c>
      <c r="N470" t="n">
        <v>0</v>
      </c>
      <c r="O470" t="n">
        <v>1</v>
      </c>
      <c r="P470" t="n">
        <v>0</v>
      </c>
      <c r="Q470" t="n">
        <v>1</v>
      </c>
      <c r="R470" s="2" t="inlineStr">
        <is>
          <t>Gullklöver</t>
        </is>
      </c>
      <c r="S470">
        <f>HYPERLINK("https://klasma.github.io/Logging_1496/artfynd/A 43859-2022 artfynd.xlsx", "A 43859-2022")</f>
        <v/>
      </c>
      <c r="T470">
        <f>HYPERLINK("https://klasma.github.io/Logging_1496/kartor/A 43859-2022 karta.png", "A 43859-2022")</f>
        <v/>
      </c>
      <c r="V470">
        <f>HYPERLINK("https://klasma.github.io/Logging_1496/klagomål/A 43859-2022 FSC-klagomål.docx", "A 43859-2022")</f>
        <v/>
      </c>
      <c r="W470">
        <f>HYPERLINK("https://klasma.github.io/Logging_1496/klagomålsmail/A 43859-2022 FSC-klagomål mail.docx", "A 43859-2022")</f>
        <v/>
      </c>
      <c r="X470">
        <f>HYPERLINK("https://klasma.github.io/Logging_1496/tillsyn/A 43859-2022 tillsynsbegäran.docx", "A 43859-2022")</f>
        <v/>
      </c>
      <c r="Y470">
        <f>HYPERLINK("https://klasma.github.io/Logging_1496/tillsynsmail/A 43859-2022 tillsynsbegäran mail.docx", "A 43859-2022")</f>
        <v/>
      </c>
    </row>
    <row r="471" ht="15" customHeight="1">
      <c r="A471" t="inlineStr">
        <is>
          <t>A 46768-2022</t>
        </is>
      </c>
      <c r="B471" s="1" t="n">
        <v>44848</v>
      </c>
      <c r="C471" s="1" t="n">
        <v>45227</v>
      </c>
      <c r="D471" t="inlineStr">
        <is>
          <t>VÄSTRA GÖTALANDS LÄN</t>
        </is>
      </c>
      <c r="E471" t="inlineStr">
        <is>
          <t>ALINGSÅS</t>
        </is>
      </c>
      <c r="G471" t="n">
        <v>5</v>
      </c>
      <c r="H471" t="n">
        <v>0</v>
      </c>
      <c r="I471" t="n">
        <v>0</v>
      </c>
      <c r="J471" t="n">
        <v>0</v>
      </c>
      <c r="K471" t="n">
        <v>0</v>
      </c>
      <c r="L471" t="n">
        <v>0</v>
      </c>
      <c r="M471" t="n">
        <v>1</v>
      </c>
      <c r="N471" t="n">
        <v>0</v>
      </c>
      <c r="O471" t="n">
        <v>1</v>
      </c>
      <c r="P471" t="n">
        <v>1</v>
      </c>
      <c r="Q471" t="n">
        <v>1</v>
      </c>
      <c r="R471" s="2" t="inlineStr">
        <is>
          <t>Flodkräfta</t>
        </is>
      </c>
      <c r="S471">
        <f>HYPERLINK("https://klasma.github.io/Logging_1489/artfynd/A 46768-2022 artfynd.xlsx", "A 46768-2022")</f>
        <v/>
      </c>
      <c r="T471">
        <f>HYPERLINK("https://klasma.github.io/Logging_1489/kartor/A 46768-2022 karta.png", "A 46768-2022")</f>
        <v/>
      </c>
      <c r="V471">
        <f>HYPERLINK("https://klasma.github.io/Logging_1489/klagomål/A 46768-2022 FSC-klagomål.docx", "A 46768-2022")</f>
        <v/>
      </c>
      <c r="W471">
        <f>HYPERLINK("https://klasma.github.io/Logging_1489/klagomålsmail/A 46768-2022 FSC-klagomål mail.docx", "A 46768-2022")</f>
        <v/>
      </c>
      <c r="X471">
        <f>HYPERLINK("https://klasma.github.io/Logging_1489/tillsyn/A 46768-2022 tillsynsbegäran.docx", "A 46768-2022")</f>
        <v/>
      </c>
      <c r="Y471">
        <f>HYPERLINK("https://klasma.github.io/Logging_1489/tillsynsmail/A 46768-2022 tillsynsbegäran mail.docx", "A 46768-2022")</f>
        <v/>
      </c>
    </row>
    <row r="472" ht="15" customHeight="1">
      <c r="A472" t="inlineStr">
        <is>
          <t>A 47881-2022</t>
        </is>
      </c>
      <c r="B472" s="1" t="n">
        <v>44855</v>
      </c>
      <c r="C472" s="1" t="n">
        <v>45227</v>
      </c>
      <c r="D472" t="inlineStr">
        <is>
          <t>VÄSTRA GÖTALANDS LÄN</t>
        </is>
      </c>
      <c r="E472" t="inlineStr">
        <is>
          <t>MUNKEDAL</t>
        </is>
      </c>
      <c r="G472" t="n">
        <v>3.2</v>
      </c>
      <c r="H472" t="n">
        <v>0</v>
      </c>
      <c r="I472" t="n">
        <v>0</v>
      </c>
      <c r="J472" t="n">
        <v>1</v>
      </c>
      <c r="K472" t="n">
        <v>0</v>
      </c>
      <c r="L472" t="n">
        <v>0</v>
      </c>
      <c r="M472" t="n">
        <v>0</v>
      </c>
      <c r="N472" t="n">
        <v>0</v>
      </c>
      <c r="O472" t="n">
        <v>1</v>
      </c>
      <c r="P472" t="n">
        <v>0</v>
      </c>
      <c r="Q472" t="n">
        <v>1</v>
      </c>
      <c r="R472" s="2" t="inlineStr">
        <is>
          <t>Skogsklocka</t>
        </is>
      </c>
      <c r="S472">
        <f>HYPERLINK("https://klasma.github.io/Logging_1430/artfynd/A 47881-2022 artfynd.xlsx", "A 47881-2022")</f>
        <v/>
      </c>
      <c r="T472">
        <f>HYPERLINK("https://klasma.github.io/Logging_1430/kartor/A 47881-2022 karta.png", "A 47881-2022")</f>
        <v/>
      </c>
      <c r="V472">
        <f>HYPERLINK("https://klasma.github.io/Logging_1430/klagomål/A 47881-2022 FSC-klagomål.docx", "A 47881-2022")</f>
        <v/>
      </c>
      <c r="W472">
        <f>HYPERLINK("https://klasma.github.io/Logging_1430/klagomålsmail/A 47881-2022 FSC-klagomål mail.docx", "A 47881-2022")</f>
        <v/>
      </c>
      <c r="X472">
        <f>HYPERLINK("https://klasma.github.io/Logging_1430/tillsyn/A 47881-2022 tillsynsbegäran.docx", "A 47881-2022")</f>
        <v/>
      </c>
      <c r="Y472">
        <f>HYPERLINK("https://klasma.github.io/Logging_1430/tillsynsmail/A 47881-2022 tillsynsbegäran mail.docx", "A 47881-2022")</f>
        <v/>
      </c>
    </row>
    <row r="473" ht="15" customHeight="1">
      <c r="A473" t="inlineStr">
        <is>
          <t>A 49969-2022</t>
        </is>
      </c>
      <c r="B473" s="1" t="n">
        <v>44859</v>
      </c>
      <c r="C473" s="1" t="n">
        <v>45227</v>
      </c>
      <c r="D473" t="inlineStr">
        <is>
          <t>VÄSTRA GÖTALANDS LÄN</t>
        </is>
      </c>
      <c r="E473" t="inlineStr">
        <is>
          <t>LIDKÖPING</t>
        </is>
      </c>
      <c r="G473" t="n">
        <v>2.9</v>
      </c>
      <c r="H473" t="n">
        <v>0</v>
      </c>
      <c r="I473" t="n">
        <v>1</v>
      </c>
      <c r="J473" t="n">
        <v>0</v>
      </c>
      <c r="K473" t="n">
        <v>0</v>
      </c>
      <c r="L473" t="n">
        <v>0</v>
      </c>
      <c r="M473" t="n">
        <v>0</v>
      </c>
      <c r="N473" t="n">
        <v>0</v>
      </c>
      <c r="O473" t="n">
        <v>0</v>
      </c>
      <c r="P473" t="n">
        <v>0</v>
      </c>
      <c r="Q473" t="n">
        <v>1</v>
      </c>
      <c r="R473" s="2" t="inlineStr">
        <is>
          <t>Gulpudrad spiklav</t>
        </is>
      </c>
      <c r="S473">
        <f>HYPERLINK("https://klasma.github.io/Logging_1494/artfynd/A 49969-2022 artfynd.xlsx", "A 49969-2022")</f>
        <v/>
      </c>
      <c r="T473">
        <f>HYPERLINK("https://klasma.github.io/Logging_1494/kartor/A 49969-2022 karta.png", "A 49969-2022")</f>
        <v/>
      </c>
      <c r="V473">
        <f>HYPERLINK("https://klasma.github.io/Logging_1494/klagomål/A 49969-2022 FSC-klagomål.docx", "A 49969-2022")</f>
        <v/>
      </c>
      <c r="W473">
        <f>HYPERLINK("https://klasma.github.io/Logging_1494/klagomålsmail/A 49969-2022 FSC-klagomål mail.docx", "A 49969-2022")</f>
        <v/>
      </c>
      <c r="X473">
        <f>HYPERLINK("https://klasma.github.io/Logging_1494/tillsyn/A 49969-2022 tillsynsbegäran.docx", "A 49969-2022")</f>
        <v/>
      </c>
      <c r="Y473">
        <f>HYPERLINK("https://klasma.github.io/Logging_1494/tillsynsmail/A 49969-2022 tillsynsbegäran mail.docx", "A 49969-2022")</f>
        <v/>
      </c>
    </row>
    <row r="474" ht="15" customHeight="1">
      <c r="A474" t="inlineStr">
        <is>
          <t>A 50293-2022</t>
        </is>
      </c>
      <c r="B474" s="1" t="n">
        <v>44865</v>
      </c>
      <c r="C474" s="1" t="n">
        <v>45227</v>
      </c>
      <c r="D474" t="inlineStr">
        <is>
          <t>VÄSTRA GÖTALANDS LÄN</t>
        </is>
      </c>
      <c r="E474" t="inlineStr">
        <is>
          <t>TIDAHOLM</t>
        </is>
      </c>
      <c r="G474" t="n">
        <v>3.5</v>
      </c>
      <c r="H474" t="n">
        <v>0</v>
      </c>
      <c r="I474" t="n">
        <v>1</v>
      </c>
      <c r="J474" t="n">
        <v>0</v>
      </c>
      <c r="K474" t="n">
        <v>0</v>
      </c>
      <c r="L474" t="n">
        <v>0</v>
      </c>
      <c r="M474" t="n">
        <v>0</v>
      </c>
      <c r="N474" t="n">
        <v>0</v>
      </c>
      <c r="O474" t="n">
        <v>0</v>
      </c>
      <c r="P474" t="n">
        <v>0</v>
      </c>
      <c r="Q474" t="n">
        <v>1</v>
      </c>
      <c r="R474" s="2" t="inlineStr">
        <is>
          <t>Kambräken</t>
        </is>
      </c>
      <c r="S474">
        <f>HYPERLINK("https://klasma.github.io/Logging_1498/artfynd/A 50293-2022 artfynd.xlsx", "A 50293-2022")</f>
        <v/>
      </c>
      <c r="T474">
        <f>HYPERLINK("https://klasma.github.io/Logging_1498/kartor/A 50293-2022 karta.png", "A 50293-2022")</f>
        <v/>
      </c>
      <c r="V474">
        <f>HYPERLINK("https://klasma.github.io/Logging_1498/klagomål/A 50293-2022 FSC-klagomål.docx", "A 50293-2022")</f>
        <v/>
      </c>
      <c r="W474">
        <f>HYPERLINK("https://klasma.github.io/Logging_1498/klagomålsmail/A 50293-2022 FSC-klagomål mail.docx", "A 50293-2022")</f>
        <v/>
      </c>
      <c r="X474">
        <f>HYPERLINK("https://klasma.github.io/Logging_1498/tillsyn/A 50293-2022 tillsynsbegäran.docx", "A 50293-2022")</f>
        <v/>
      </c>
      <c r="Y474">
        <f>HYPERLINK("https://klasma.github.io/Logging_1498/tillsynsmail/A 50293-2022 tillsynsbegäran mail.docx", "A 50293-2022")</f>
        <v/>
      </c>
    </row>
    <row r="475" ht="15" customHeight="1">
      <c r="A475" t="inlineStr">
        <is>
          <t>A 50515-2022</t>
        </is>
      </c>
      <c r="B475" s="1" t="n">
        <v>44866</v>
      </c>
      <c r="C475" s="1" t="n">
        <v>45227</v>
      </c>
      <c r="D475" t="inlineStr">
        <is>
          <t>VÄSTRA GÖTALANDS LÄN</t>
        </is>
      </c>
      <c r="E475" t="inlineStr">
        <is>
          <t>TRANEMO</t>
        </is>
      </c>
      <c r="F475" t="inlineStr">
        <is>
          <t>Sveaskog</t>
        </is>
      </c>
      <c r="G475" t="n">
        <v>0.6</v>
      </c>
      <c r="H475" t="n">
        <v>0</v>
      </c>
      <c r="I475" t="n">
        <v>0</v>
      </c>
      <c r="J475" t="n">
        <v>1</v>
      </c>
      <c r="K475" t="n">
        <v>0</v>
      </c>
      <c r="L475" t="n">
        <v>0</v>
      </c>
      <c r="M475" t="n">
        <v>0</v>
      </c>
      <c r="N475" t="n">
        <v>0</v>
      </c>
      <c r="O475" t="n">
        <v>1</v>
      </c>
      <c r="P475" t="n">
        <v>0</v>
      </c>
      <c r="Q475" t="n">
        <v>1</v>
      </c>
      <c r="R475" s="2" t="inlineStr">
        <is>
          <t>Borsttåg</t>
        </is>
      </c>
      <c r="S475">
        <f>HYPERLINK("https://klasma.github.io/Logging_1452/artfynd/A 50515-2022 artfynd.xlsx", "A 50515-2022")</f>
        <v/>
      </c>
      <c r="T475">
        <f>HYPERLINK("https://klasma.github.io/Logging_1452/kartor/A 50515-2022 karta.png", "A 50515-2022")</f>
        <v/>
      </c>
      <c r="V475">
        <f>HYPERLINK("https://klasma.github.io/Logging_1452/klagomål/A 50515-2022 FSC-klagomål.docx", "A 50515-2022")</f>
        <v/>
      </c>
      <c r="W475">
        <f>HYPERLINK("https://klasma.github.io/Logging_1452/klagomålsmail/A 50515-2022 FSC-klagomål mail.docx", "A 50515-2022")</f>
        <v/>
      </c>
      <c r="X475">
        <f>HYPERLINK("https://klasma.github.io/Logging_1452/tillsyn/A 50515-2022 tillsynsbegäran.docx", "A 50515-2022")</f>
        <v/>
      </c>
      <c r="Y475">
        <f>HYPERLINK("https://klasma.github.io/Logging_1452/tillsynsmail/A 50515-2022 tillsynsbegäran mail.docx", "A 50515-2022")</f>
        <v/>
      </c>
    </row>
    <row r="476" ht="15" customHeight="1">
      <c r="A476" t="inlineStr">
        <is>
          <t>A 51770-2022</t>
        </is>
      </c>
      <c r="B476" s="1" t="n">
        <v>44872</v>
      </c>
      <c r="C476" s="1" t="n">
        <v>45227</v>
      </c>
      <c r="D476" t="inlineStr">
        <is>
          <t>VÄSTRA GÖTALANDS LÄN</t>
        </is>
      </c>
      <c r="E476" t="inlineStr">
        <is>
          <t>ULRICEHAMN</t>
        </is>
      </c>
      <c r="G476" t="n">
        <v>2.5</v>
      </c>
      <c r="H476" t="n">
        <v>0</v>
      </c>
      <c r="I476" t="n">
        <v>1</v>
      </c>
      <c r="J476" t="n">
        <v>0</v>
      </c>
      <c r="K476" t="n">
        <v>0</v>
      </c>
      <c r="L476" t="n">
        <v>0</v>
      </c>
      <c r="M476" t="n">
        <v>0</v>
      </c>
      <c r="N476" t="n">
        <v>0</v>
      </c>
      <c r="O476" t="n">
        <v>0</v>
      </c>
      <c r="P476" t="n">
        <v>0</v>
      </c>
      <c r="Q476" t="n">
        <v>1</v>
      </c>
      <c r="R476" s="2" t="inlineStr">
        <is>
          <t>Fällmossa</t>
        </is>
      </c>
      <c r="S476">
        <f>HYPERLINK("https://klasma.github.io/Logging_1491/artfynd/A 51770-2022 artfynd.xlsx", "A 51770-2022")</f>
        <v/>
      </c>
      <c r="T476">
        <f>HYPERLINK("https://klasma.github.io/Logging_1491/kartor/A 51770-2022 karta.png", "A 51770-2022")</f>
        <v/>
      </c>
      <c r="V476">
        <f>HYPERLINK("https://klasma.github.io/Logging_1491/klagomål/A 51770-2022 FSC-klagomål.docx", "A 51770-2022")</f>
        <v/>
      </c>
      <c r="W476">
        <f>HYPERLINK("https://klasma.github.io/Logging_1491/klagomålsmail/A 51770-2022 FSC-klagomål mail.docx", "A 51770-2022")</f>
        <v/>
      </c>
      <c r="X476">
        <f>HYPERLINK("https://klasma.github.io/Logging_1491/tillsyn/A 51770-2022 tillsynsbegäran.docx", "A 51770-2022")</f>
        <v/>
      </c>
      <c r="Y476">
        <f>HYPERLINK("https://klasma.github.io/Logging_1491/tillsynsmail/A 51770-2022 tillsynsbegäran mail.docx", "A 51770-2022")</f>
        <v/>
      </c>
    </row>
    <row r="477" ht="15" customHeight="1">
      <c r="A477" t="inlineStr">
        <is>
          <t>A 53397-2022</t>
        </is>
      </c>
      <c r="B477" s="1" t="n">
        <v>44879</v>
      </c>
      <c r="C477" s="1" t="n">
        <v>45227</v>
      </c>
      <c r="D477" t="inlineStr">
        <is>
          <t>VÄSTRA GÖTALANDS LÄN</t>
        </is>
      </c>
      <c r="E477" t="inlineStr">
        <is>
          <t>TANUM</t>
        </is>
      </c>
      <c r="G477" t="n">
        <v>7.4</v>
      </c>
      <c r="H477" t="n">
        <v>1</v>
      </c>
      <c r="I477" t="n">
        <v>0</v>
      </c>
      <c r="J477" t="n">
        <v>1</v>
      </c>
      <c r="K477" t="n">
        <v>0</v>
      </c>
      <c r="L477" t="n">
        <v>0</v>
      </c>
      <c r="M477" t="n">
        <v>0</v>
      </c>
      <c r="N477" t="n">
        <v>0</v>
      </c>
      <c r="O477" t="n">
        <v>1</v>
      </c>
      <c r="P477" t="n">
        <v>0</v>
      </c>
      <c r="Q477" t="n">
        <v>1</v>
      </c>
      <c r="R477" s="2" t="inlineStr">
        <is>
          <t>Tretåig hackspett</t>
        </is>
      </c>
      <c r="S477">
        <f>HYPERLINK("https://klasma.github.io/Logging_1435/artfynd/A 53397-2022 artfynd.xlsx", "A 53397-2022")</f>
        <v/>
      </c>
      <c r="T477">
        <f>HYPERLINK("https://klasma.github.io/Logging_1435/kartor/A 53397-2022 karta.png", "A 53397-2022")</f>
        <v/>
      </c>
      <c r="V477">
        <f>HYPERLINK("https://klasma.github.io/Logging_1435/klagomål/A 53397-2022 FSC-klagomål.docx", "A 53397-2022")</f>
        <v/>
      </c>
      <c r="W477">
        <f>HYPERLINK("https://klasma.github.io/Logging_1435/klagomålsmail/A 53397-2022 FSC-klagomål mail.docx", "A 53397-2022")</f>
        <v/>
      </c>
      <c r="X477">
        <f>HYPERLINK("https://klasma.github.io/Logging_1435/tillsyn/A 53397-2022 tillsynsbegäran.docx", "A 53397-2022")</f>
        <v/>
      </c>
      <c r="Y477">
        <f>HYPERLINK("https://klasma.github.io/Logging_1435/tillsynsmail/A 53397-2022 tillsynsbegäran mail.docx", "A 53397-2022")</f>
        <v/>
      </c>
    </row>
    <row r="478" ht="15" customHeight="1">
      <c r="A478" t="inlineStr">
        <is>
          <t>A 53555-2022</t>
        </is>
      </c>
      <c r="B478" s="1" t="n">
        <v>44879</v>
      </c>
      <c r="C478" s="1" t="n">
        <v>45227</v>
      </c>
      <c r="D478" t="inlineStr">
        <is>
          <t>VÄSTRA GÖTALANDS LÄN</t>
        </is>
      </c>
      <c r="E478" t="inlineStr">
        <is>
          <t>ULRICEHAMN</t>
        </is>
      </c>
      <c r="G478" t="n">
        <v>2.6</v>
      </c>
      <c r="H478" t="n">
        <v>0</v>
      </c>
      <c r="I478" t="n">
        <v>0</v>
      </c>
      <c r="J478" t="n">
        <v>0</v>
      </c>
      <c r="K478" t="n">
        <v>0</v>
      </c>
      <c r="L478" t="n">
        <v>1</v>
      </c>
      <c r="M478" t="n">
        <v>0</v>
      </c>
      <c r="N478" t="n">
        <v>0</v>
      </c>
      <c r="O478" t="n">
        <v>1</v>
      </c>
      <c r="P478" t="n">
        <v>1</v>
      </c>
      <c r="Q478" t="n">
        <v>1</v>
      </c>
      <c r="R478" s="2" t="inlineStr">
        <is>
          <t>Ask</t>
        </is>
      </c>
      <c r="S478">
        <f>HYPERLINK("https://klasma.github.io/Logging_1491/artfynd/A 53555-2022 artfynd.xlsx", "A 53555-2022")</f>
        <v/>
      </c>
      <c r="T478">
        <f>HYPERLINK("https://klasma.github.io/Logging_1491/kartor/A 53555-2022 karta.png", "A 53555-2022")</f>
        <v/>
      </c>
      <c r="V478">
        <f>HYPERLINK("https://klasma.github.io/Logging_1491/klagomål/A 53555-2022 FSC-klagomål.docx", "A 53555-2022")</f>
        <v/>
      </c>
      <c r="W478">
        <f>HYPERLINK("https://klasma.github.io/Logging_1491/klagomålsmail/A 53555-2022 FSC-klagomål mail.docx", "A 53555-2022")</f>
        <v/>
      </c>
      <c r="X478">
        <f>HYPERLINK("https://klasma.github.io/Logging_1491/tillsyn/A 53555-2022 tillsynsbegäran.docx", "A 53555-2022")</f>
        <v/>
      </c>
      <c r="Y478">
        <f>HYPERLINK("https://klasma.github.io/Logging_1491/tillsynsmail/A 53555-2022 tillsynsbegäran mail.docx", "A 53555-2022")</f>
        <v/>
      </c>
    </row>
    <row r="479" ht="15" customHeight="1">
      <c r="A479" t="inlineStr">
        <is>
          <t>A 54032-2022</t>
        </is>
      </c>
      <c r="B479" s="1" t="n">
        <v>44881</v>
      </c>
      <c r="C479" s="1" t="n">
        <v>45227</v>
      </c>
      <c r="D479" t="inlineStr">
        <is>
          <t>VÄSTRA GÖTALANDS LÄN</t>
        </is>
      </c>
      <c r="E479" t="inlineStr">
        <is>
          <t>BENGTSFORS</t>
        </is>
      </c>
      <c r="G479" t="n">
        <v>2.2</v>
      </c>
      <c r="H479" t="n">
        <v>0</v>
      </c>
      <c r="I479" t="n">
        <v>1</v>
      </c>
      <c r="J479" t="n">
        <v>0</v>
      </c>
      <c r="K479" t="n">
        <v>0</v>
      </c>
      <c r="L479" t="n">
        <v>0</v>
      </c>
      <c r="M479" t="n">
        <v>0</v>
      </c>
      <c r="N479" t="n">
        <v>0</v>
      </c>
      <c r="O479" t="n">
        <v>0</v>
      </c>
      <c r="P479" t="n">
        <v>0</v>
      </c>
      <c r="Q479" t="n">
        <v>1</v>
      </c>
      <c r="R479" s="2" t="inlineStr">
        <is>
          <t>Bronshjon</t>
        </is>
      </c>
      <c r="S479">
        <f>HYPERLINK("https://klasma.github.io/Logging_1460/artfynd/A 54032-2022 artfynd.xlsx", "A 54032-2022")</f>
        <v/>
      </c>
      <c r="T479">
        <f>HYPERLINK("https://klasma.github.io/Logging_1460/kartor/A 54032-2022 karta.png", "A 54032-2022")</f>
        <v/>
      </c>
      <c r="V479">
        <f>HYPERLINK("https://klasma.github.io/Logging_1460/klagomål/A 54032-2022 FSC-klagomål.docx", "A 54032-2022")</f>
        <v/>
      </c>
      <c r="W479">
        <f>HYPERLINK("https://klasma.github.io/Logging_1460/klagomålsmail/A 54032-2022 FSC-klagomål mail.docx", "A 54032-2022")</f>
        <v/>
      </c>
      <c r="X479">
        <f>HYPERLINK("https://klasma.github.io/Logging_1460/tillsyn/A 54032-2022 tillsynsbegäran.docx", "A 54032-2022")</f>
        <v/>
      </c>
      <c r="Y479">
        <f>HYPERLINK("https://klasma.github.io/Logging_1460/tillsynsmail/A 54032-2022 tillsynsbegäran mail.docx", "A 54032-2022")</f>
        <v/>
      </c>
    </row>
    <row r="480" ht="15" customHeight="1">
      <c r="A480" t="inlineStr">
        <is>
          <t>A 56006-2022</t>
        </is>
      </c>
      <c r="B480" s="1" t="n">
        <v>44889</v>
      </c>
      <c r="C480" s="1" t="n">
        <v>45227</v>
      </c>
      <c r="D480" t="inlineStr">
        <is>
          <t>VÄSTRA GÖTALANDS LÄN</t>
        </is>
      </c>
      <c r="E480" t="inlineStr">
        <is>
          <t>BENGTSFORS</t>
        </is>
      </c>
      <c r="G480" t="n">
        <v>6.4</v>
      </c>
      <c r="H480" t="n">
        <v>0</v>
      </c>
      <c r="I480" t="n">
        <v>1</v>
      </c>
      <c r="J480" t="n">
        <v>0</v>
      </c>
      <c r="K480" t="n">
        <v>0</v>
      </c>
      <c r="L480" t="n">
        <v>0</v>
      </c>
      <c r="M480" t="n">
        <v>0</v>
      </c>
      <c r="N480" t="n">
        <v>0</v>
      </c>
      <c r="O480" t="n">
        <v>0</v>
      </c>
      <c r="P480" t="n">
        <v>0</v>
      </c>
      <c r="Q480" t="n">
        <v>1</v>
      </c>
      <c r="R480" s="2" t="inlineStr">
        <is>
          <t>Västlig hakmossa</t>
        </is>
      </c>
      <c r="S480">
        <f>HYPERLINK("https://klasma.github.io/Logging_1460/artfynd/A 56006-2022 artfynd.xlsx", "A 56006-2022")</f>
        <v/>
      </c>
      <c r="T480">
        <f>HYPERLINK("https://klasma.github.io/Logging_1460/kartor/A 56006-2022 karta.png", "A 56006-2022")</f>
        <v/>
      </c>
      <c r="V480">
        <f>HYPERLINK("https://klasma.github.io/Logging_1460/klagomål/A 56006-2022 FSC-klagomål.docx", "A 56006-2022")</f>
        <v/>
      </c>
      <c r="W480">
        <f>HYPERLINK("https://klasma.github.io/Logging_1460/klagomålsmail/A 56006-2022 FSC-klagomål mail.docx", "A 56006-2022")</f>
        <v/>
      </c>
      <c r="X480">
        <f>HYPERLINK("https://klasma.github.io/Logging_1460/tillsyn/A 56006-2022 tillsynsbegäran.docx", "A 56006-2022")</f>
        <v/>
      </c>
      <c r="Y480">
        <f>HYPERLINK("https://klasma.github.io/Logging_1460/tillsynsmail/A 56006-2022 tillsynsbegäran mail.docx", "A 56006-2022")</f>
        <v/>
      </c>
    </row>
    <row r="481" ht="15" customHeight="1">
      <c r="A481" t="inlineStr">
        <is>
          <t>A 56911-2022</t>
        </is>
      </c>
      <c r="B481" s="1" t="n">
        <v>44894</v>
      </c>
      <c r="C481" s="1" t="n">
        <v>45227</v>
      </c>
      <c r="D481" t="inlineStr">
        <is>
          <t>VÄSTRA GÖTALANDS LÄN</t>
        </is>
      </c>
      <c r="E481" t="inlineStr">
        <is>
          <t>LERUM</t>
        </is>
      </c>
      <c r="G481" t="n">
        <v>1.9</v>
      </c>
      <c r="H481" t="n">
        <v>1</v>
      </c>
      <c r="I481" t="n">
        <v>0</v>
      </c>
      <c r="J481" t="n">
        <v>1</v>
      </c>
      <c r="K481" t="n">
        <v>0</v>
      </c>
      <c r="L481" t="n">
        <v>0</v>
      </c>
      <c r="M481" t="n">
        <v>0</v>
      </c>
      <c r="N481" t="n">
        <v>0</v>
      </c>
      <c r="O481" t="n">
        <v>1</v>
      </c>
      <c r="P481" t="n">
        <v>0</v>
      </c>
      <c r="Q481" t="n">
        <v>1</v>
      </c>
      <c r="R481" s="2" t="inlineStr">
        <is>
          <t>Duvhök</t>
        </is>
      </c>
      <c r="S481">
        <f>HYPERLINK("https://klasma.github.io/Logging_1441/artfynd/A 56911-2022 artfynd.xlsx", "A 56911-2022")</f>
        <v/>
      </c>
      <c r="T481">
        <f>HYPERLINK("https://klasma.github.io/Logging_1441/kartor/A 56911-2022 karta.png", "A 56911-2022")</f>
        <v/>
      </c>
      <c r="V481">
        <f>HYPERLINK("https://klasma.github.io/Logging_1441/klagomål/A 56911-2022 FSC-klagomål.docx", "A 56911-2022")</f>
        <v/>
      </c>
      <c r="W481">
        <f>HYPERLINK("https://klasma.github.io/Logging_1441/klagomålsmail/A 56911-2022 FSC-klagomål mail.docx", "A 56911-2022")</f>
        <v/>
      </c>
      <c r="X481">
        <f>HYPERLINK("https://klasma.github.io/Logging_1441/tillsyn/A 56911-2022 tillsynsbegäran.docx", "A 56911-2022")</f>
        <v/>
      </c>
      <c r="Y481">
        <f>HYPERLINK("https://klasma.github.io/Logging_1441/tillsynsmail/A 56911-2022 tillsynsbegäran mail.docx", "A 56911-2022")</f>
        <v/>
      </c>
    </row>
    <row r="482" ht="15" customHeight="1">
      <c r="A482" t="inlineStr">
        <is>
          <t>A 58906-2022</t>
        </is>
      </c>
      <c r="B482" s="1" t="n">
        <v>44896</v>
      </c>
      <c r="C482" s="1" t="n">
        <v>45227</v>
      </c>
      <c r="D482" t="inlineStr">
        <is>
          <t>VÄSTRA GÖTALANDS LÄN</t>
        </is>
      </c>
      <c r="E482" t="inlineStr">
        <is>
          <t>MELLERUD</t>
        </is>
      </c>
      <c r="G482" t="n">
        <v>22</v>
      </c>
      <c r="H482" t="n">
        <v>1</v>
      </c>
      <c r="I482" t="n">
        <v>1</v>
      </c>
      <c r="J482" t="n">
        <v>0</v>
      </c>
      <c r="K482" t="n">
        <v>0</v>
      </c>
      <c r="L482" t="n">
        <v>0</v>
      </c>
      <c r="M482" t="n">
        <v>0</v>
      </c>
      <c r="N482" t="n">
        <v>0</v>
      </c>
      <c r="O482" t="n">
        <v>0</v>
      </c>
      <c r="P482" t="n">
        <v>0</v>
      </c>
      <c r="Q482" t="n">
        <v>1</v>
      </c>
      <c r="R482" s="2" t="inlineStr">
        <is>
          <t>Skogsknipprot</t>
        </is>
      </c>
      <c r="S482">
        <f>HYPERLINK("https://klasma.github.io/Logging_1461/artfynd/A 58906-2022 artfynd.xlsx", "A 58906-2022")</f>
        <v/>
      </c>
      <c r="T482">
        <f>HYPERLINK("https://klasma.github.io/Logging_1461/kartor/A 58906-2022 karta.png", "A 58906-2022")</f>
        <v/>
      </c>
      <c r="V482">
        <f>HYPERLINK("https://klasma.github.io/Logging_1461/klagomål/A 58906-2022 FSC-klagomål.docx", "A 58906-2022")</f>
        <v/>
      </c>
      <c r="W482">
        <f>HYPERLINK("https://klasma.github.io/Logging_1461/klagomålsmail/A 58906-2022 FSC-klagomål mail.docx", "A 58906-2022")</f>
        <v/>
      </c>
      <c r="X482">
        <f>HYPERLINK("https://klasma.github.io/Logging_1461/tillsyn/A 58906-2022 tillsynsbegäran.docx", "A 58906-2022")</f>
        <v/>
      </c>
      <c r="Y482">
        <f>HYPERLINK("https://klasma.github.io/Logging_1461/tillsynsmail/A 58906-2022 tillsynsbegäran mail.docx", "A 58906-2022")</f>
        <v/>
      </c>
    </row>
    <row r="483" ht="15" customHeight="1">
      <c r="A483" t="inlineStr">
        <is>
          <t>A 60616-2022</t>
        </is>
      </c>
      <c r="B483" s="1" t="n">
        <v>44906</v>
      </c>
      <c r="C483" s="1" t="n">
        <v>45227</v>
      </c>
      <c r="D483" t="inlineStr">
        <is>
          <t>VÄSTRA GÖTALANDS LÄN</t>
        </is>
      </c>
      <c r="E483" t="inlineStr">
        <is>
          <t>FALKÖPING</t>
        </is>
      </c>
      <c r="G483" t="n">
        <v>1.6</v>
      </c>
      <c r="H483" t="n">
        <v>0</v>
      </c>
      <c r="I483" t="n">
        <v>0</v>
      </c>
      <c r="J483" t="n">
        <v>1</v>
      </c>
      <c r="K483" t="n">
        <v>0</v>
      </c>
      <c r="L483" t="n">
        <v>0</v>
      </c>
      <c r="M483" t="n">
        <v>0</v>
      </c>
      <c r="N483" t="n">
        <v>0</v>
      </c>
      <c r="O483" t="n">
        <v>1</v>
      </c>
      <c r="P483" t="n">
        <v>0</v>
      </c>
      <c r="Q483" t="n">
        <v>1</v>
      </c>
      <c r="R483" s="2" t="inlineStr">
        <is>
          <t>Mjukdån</t>
        </is>
      </c>
      <c r="S483">
        <f>HYPERLINK("https://klasma.github.io/Logging_1499/artfynd/A 60616-2022 artfynd.xlsx", "A 60616-2022")</f>
        <v/>
      </c>
      <c r="T483">
        <f>HYPERLINK("https://klasma.github.io/Logging_1499/kartor/A 60616-2022 karta.png", "A 60616-2022")</f>
        <v/>
      </c>
      <c r="V483">
        <f>HYPERLINK("https://klasma.github.io/Logging_1499/klagomål/A 60616-2022 FSC-klagomål.docx", "A 60616-2022")</f>
        <v/>
      </c>
      <c r="W483">
        <f>HYPERLINK("https://klasma.github.io/Logging_1499/klagomålsmail/A 60616-2022 FSC-klagomål mail.docx", "A 60616-2022")</f>
        <v/>
      </c>
      <c r="X483">
        <f>HYPERLINK("https://klasma.github.io/Logging_1499/tillsyn/A 60616-2022 tillsynsbegäran.docx", "A 60616-2022")</f>
        <v/>
      </c>
      <c r="Y483">
        <f>HYPERLINK("https://klasma.github.io/Logging_1499/tillsynsmail/A 60616-2022 tillsynsbegäran mail.docx", "A 60616-2022")</f>
        <v/>
      </c>
    </row>
    <row r="484" ht="15" customHeight="1">
      <c r="A484" t="inlineStr">
        <is>
          <t>A 100-2023</t>
        </is>
      </c>
      <c r="B484" s="1" t="n">
        <v>44928</v>
      </c>
      <c r="C484" s="1" t="n">
        <v>45227</v>
      </c>
      <c r="D484" t="inlineStr">
        <is>
          <t>VÄSTRA GÖTALANDS LÄN</t>
        </is>
      </c>
      <c r="E484" t="inlineStr">
        <is>
          <t>SKÖVDE</t>
        </is>
      </c>
      <c r="F484" t="inlineStr">
        <is>
          <t>Kommuner</t>
        </is>
      </c>
      <c r="G484" t="n">
        <v>1.4</v>
      </c>
      <c r="H484" t="n">
        <v>0</v>
      </c>
      <c r="I484" t="n">
        <v>0</v>
      </c>
      <c r="J484" t="n">
        <v>1</v>
      </c>
      <c r="K484" t="n">
        <v>0</v>
      </c>
      <c r="L484" t="n">
        <v>0</v>
      </c>
      <c r="M484" t="n">
        <v>0</v>
      </c>
      <c r="N484" t="n">
        <v>0</v>
      </c>
      <c r="O484" t="n">
        <v>1</v>
      </c>
      <c r="P484" t="n">
        <v>0</v>
      </c>
      <c r="Q484" t="n">
        <v>1</v>
      </c>
      <c r="R484" s="2" t="inlineStr">
        <is>
          <t>Borsttåg</t>
        </is>
      </c>
      <c r="S484">
        <f>HYPERLINK("https://klasma.github.io/Logging_1496/artfynd/A 100-2023 artfynd.xlsx", "A 100-2023")</f>
        <v/>
      </c>
      <c r="T484">
        <f>HYPERLINK("https://klasma.github.io/Logging_1496/kartor/A 100-2023 karta.png", "A 100-2023")</f>
        <v/>
      </c>
      <c r="V484">
        <f>HYPERLINK("https://klasma.github.io/Logging_1496/klagomål/A 100-2023 FSC-klagomål.docx", "A 100-2023")</f>
        <v/>
      </c>
      <c r="W484">
        <f>HYPERLINK("https://klasma.github.io/Logging_1496/klagomålsmail/A 100-2023 FSC-klagomål mail.docx", "A 100-2023")</f>
        <v/>
      </c>
      <c r="X484">
        <f>HYPERLINK("https://klasma.github.io/Logging_1496/tillsyn/A 100-2023 tillsynsbegäran.docx", "A 100-2023")</f>
        <v/>
      </c>
      <c r="Y484">
        <f>HYPERLINK("https://klasma.github.io/Logging_1496/tillsynsmail/A 100-2023 tillsynsbegäran mail.docx", "A 100-2023")</f>
        <v/>
      </c>
    </row>
    <row r="485" ht="15" customHeight="1">
      <c r="A485" t="inlineStr">
        <is>
          <t>A 236-2023</t>
        </is>
      </c>
      <c r="B485" s="1" t="n">
        <v>44928</v>
      </c>
      <c r="C485" s="1" t="n">
        <v>45227</v>
      </c>
      <c r="D485" t="inlineStr">
        <is>
          <t>VÄSTRA GÖTALANDS LÄN</t>
        </is>
      </c>
      <c r="E485" t="inlineStr">
        <is>
          <t>UDDEVALLA</t>
        </is>
      </c>
      <c r="G485" t="n">
        <v>16.7</v>
      </c>
      <c r="H485" t="n">
        <v>0</v>
      </c>
      <c r="I485" t="n">
        <v>1</v>
      </c>
      <c r="J485" t="n">
        <v>0</v>
      </c>
      <c r="K485" t="n">
        <v>0</v>
      </c>
      <c r="L485" t="n">
        <v>0</v>
      </c>
      <c r="M485" t="n">
        <v>0</v>
      </c>
      <c r="N485" t="n">
        <v>0</v>
      </c>
      <c r="O485" t="n">
        <v>0</v>
      </c>
      <c r="P485" t="n">
        <v>0</v>
      </c>
      <c r="Q485" t="n">
        <v>1</v>
      </c>
      <c r="R485" s="2" t="inlineStr">
        <is>
          <t>Rödgul trumpetsvamp</t>
        </is>
      </c>
      <c r="S485">
        <f>HYPERLINK("https://klasma.github.io/Logging_1485/artfynd/A 236-2023 artfynd.xlsx", "A 236-2023")</f>
        <v/>
      </c>
      <c r="T485">
        <f>HYPERLINK("https://klasma.github.io/Logging_1485/kartor/A 236-2023 karta.png", "A 236-2023")</f>
        <v/>
      </c>
      <c r="V485">
        <f>HYPERLINK("https://klasma.github.io/Logging_1485/klagomål/A 236-2023 FSC-klagomål.docx", "A 236-2023")</f>
        <v/>
      </c>
      <c r="W485">
        <f>HYPERLINK("https://klasma.github.io/Logging_1485/klagomålsmail/A 236-2023 FSC-klagomål mail.docx", "A 236-2023")</f>
        <v/>
      </c>
      <c r="X485">
        <f>HYPERLINK("https://klasma.github.io/Logging_1485/tillsyn/A 236-2023 tillsynsbegäran.docx", "A 236-2023")</f>
        <v/>
      </c>
      <c r="Y485">
        <f>HYPERLINK("https://klasma.github.io/Logging_1485/tillsynsmail/A 236-2023 tillsynsbegäran mail.docx", "A 236-2023")</f>
        <v/>
      </c>
    </row>
    <row r="486" ht="15" customHeight="1">
      <c r="A486" t="inlineStr">
        <is>
          <t>A 426-2023</t>
        </is>
      </c>
      <c r="B486" s="1" t="n">
        <v>44929</v>
      </c>
      <c r="C486" s="1" t="n">
        <v>45227</v>
      </c>
      <c r="D486" t="inlineStr">
        <is>
          <t>VÄSTRA GÖTALANDS LÄN</t>
        </is>
      </c>
      <c r="E486" t="inlineStr">
        <is>
          <t>TIBRO</t>
        </is>
      </c>
      <c r="G486" t="n">
        <v>1.8</v>
      </c>
      <c r="H486" t="n">
        <v>0</v>
      </c>
      <c r="I486" t="n">
        <v>1</v>
      </c>
      <c r="J486" t="n">
        <v>0</v>
      </c>
      <c r="K486" t="n">
        <v>0</v>
      </c>
      <c r="L486" t="n">
        <v>0</v>
      </c>
      <c r="M486" t="n">
        <v>0</v>
      </c>
      <c r="N486" t="n">
        <v>0</v>
      </c>
      <c r="O486" t="n">
        <v>0</v>
      </c>
      <c r="P486" t="n">
        <v>0</v>
      </c>
      <c r="Q486" t="n">
        <v>1</v>
      </c>
      <c r="R486" s="2" t="inlineStr">
        <is>
          <t>Grönpyrola</t>
        </is>
      </c>
      <c r="S486">
        <f>HYPERLINK("https://klasma.github.io/Logging_1472/artfynd/A 426-2023 artfynd.xlsx", "A 426-2023")</f>
        <v/>
      </c>
      <c r="T486">
        <f>HYPERLINK("https://klasma.github.io/Logging_1472/kartor/A 426-2023 karta.png", "A 426-2023")</f>
        <v/>
      </c>
      <c r="V486">
        <f>HYPERLINK("https://klasma.github.io/Logging_1472/klagomål/A 426-2023 FSC-klagomål.docx", "A 426-2023")</f>
        <v/>
      </c>
      <c r="W486">
        <f>HYPERLINK("https://klasma.github.io/Logging_1472/klagomålsmail/A 426-2023 FSC-klagomål mail.docx", "A 426-2023")</f>
        <v/>
      </c>
      <c r="X486">
        <f>HYPERLINK("https://klasma.github.io/Logging_1472/tillsyn/A 426-2023 tillsynsbegäran.docx", "A 426-2023")</f>
        <v/>
      </c>
      <c r="Y486">
        <f>HYPERLINK("https://klasma.github.io/Logging_1472/tillsynsmail/A 426-2023 tillsynsbegäran mail.docx", "A 426-2023")</f>
        <v/>
      </c>
    </row>
    <row r="487" ht="15" customHeight="1">
      <c r="A487" t="inlineStr">
        <is>
          <t>A 1591-2023</t>
        </is>
      </c>
      <c r="B487" s="1" t="n">
        <v>44937</v>
      </c>
      <c r="C487" s="1" t="n">
        <v>45227</v>
      </c>
      <c r="D487" t="inlineStr">
        <is>
          <t>VÄSTRA GÖTALANDS LÄN</t>
        </is>
      </c>
      <c r="E487" t="inlineStr">
        <is>
          <t>TÖREBODA</t>
        </is>
      </c>
      <c r="G487" t="n">
        <v>10.1</v>
      </c>
      <c r="H487" t="n">
        <v>0</v>
      </c>
      <c r="I487" t="n">
        <v>0</v>
      </c>
      <c r="J487" t="n">
        <v>1</v>
      </c>
      <c r="K487" t="n">
        <v>0</v>
      </c>
      <c r="L487" t="n">
        <v>0</v>
      </c>
      <c r="M487" t="n">
        <v>0</v>
      </c>
      <c r="N487" t="n">
        <v>0</v>
      </c>
      <c r="O487" t="n">
        <v>1</v>
      </c>
      <c r="P487" t="n">
        <v>0</v>
      </c>
      <c r="Q487" t="n">
        <v>1</v>
      </c>
      <c r="R487" s="2" t="inlineStr">
        <is>
          <t>Grantaggsvamp</t>
        </is>
      </c>
      <c r="S487">
        <f>HYPERLINK("https://klasma.github.io/Logging_1473/artfynd/A 1591-2023 artfynd.xlsx", "A 1591-2023")</f>
        <v/>
      </c>
      <c r="T487">
        <f>HYPERLINK("https://klasma.github.io/Logging_1473/kartor/A 1591-2023 karta.png", "A 1591-2023")</f>
        <v/>
      </c>
      <c r="V487">
        <f>HYPERLINK("https://klasma.github.io/Logging_1473/klagomål/A 1591-2023 FSC-klagomål.docx", "A 1591-2023")</f>
        <v/>
      </c>
      <c r="W487">
        <f>HYPERLINK("https://klasma.github.io/Logging_1473/klagomålsmail/A 1591-2023 FSC-klagomål mail.docx", "A 1591-2023")</f>
        <v/>
      </c>
      <c r="X487">
        <f>HYPERLINK("https://klasma.github.io/Logging_1473/tillsyn/A 1591-2023 tillsynsbegäran.docx", "A 1591-2023")</f>
        <v/>
      </c>
      <c r="Y487">
        <f>HYPERLINK("https://klasma.github.io/Logging_1473/tillsynsmail/A 1591-2023 tillsynsbegäran mail.docx", "A 1591-2023")</f>
        <v/>
      </c>
    </row>
    <row r="488" ht="15" customHeight="1">
      <c r="A488" t="inlineStr">
        <is>
          <t>A 2555-2023</t>
        </is>
      </c>
      <c r="B488" s="1" t="n">
        <v>44943</v>
      </c>
      <c r="C488" s="1" t="n">
        <v>45227</v>
      </c>
      <c r="D488" t="inlineStr">
        <is>
          <t>VÄSTRA GÖTALANDS LÄN</t>
        </is>
      </c>
      <c r="E488" t="inlineStr">
        <is>
          <t>MUNKEDAL</t>
        </is>
      </c>
      <c r="G488" t="n">
        <v>3.1</v>
      </c>
      <c r="H488" t="n">
        <v>0</v>
      </c>
      <c r="I488" t="n">
        <v>1</v>
      </c>
      <c r="J488" t="n">
        <v>0</v>
      </c>
      <c r="K488" t="n">
        <v>0</v>
      </c>
      <c r="L488" t="n">
        <v>0</v>
      </c>
      <c r="M488" t="n">
        <v>0</v>
      </c>
      <c r="N488" t="n">
        <v>0</v>
      </c>
      <c r="O488" t="n">
        <v>0</v>
      </c>
      <c r="P488" t="n">
        <v>0</v>
      </c>
      <c r="Q488" t="n">
        <v>1</v>
      </c>
      <c r="R488" s="2" t="inlineStr">
        <is>
          <t>Svart trolldruva</t>
        </is>
      </c>
      <c r="S488">
        <f>HYPERLINK("https://klasma.github.io/Logging_1430/artfynd/A 2555-2023 artfynd.xlsx", "A 2555-2023")</f>
        <v/>
      </c>
      <c r="T488">
        <f>HYPERLINK("https://klasma.github.io/Logging_1430/kartor/A 2555-2023 karta.png", "A 2555-2023")</f>
        <v/>
      </c>
      <c r="V488">
        <f>HYPERLINK("https://klasma.github.io/Logging_1430/klagomål/A 2555-2023 FSC-klagomål.docx", "A 2555-2023")</f>
        <v/>
      </c>
      <c r="W488">
        <f>HYPERLINK("https://klasma.github.io/Logging_1430/klagomålsmail/A 2555-2023 FSC-klagomål mail.docx", "A 2555-2023")</f>
        <v/>
      </c>
      <c r="X488">
        <f>HYPERLINK("https://klasma.github.io/Logging_1430/tillsyn/A 2555-2023 tillsynsbegäran.docx", "A 2555-2023")</f>
        <v/>
      </c>
      <c r="Y488">
        <f>HYPERLINK("https://klasma.github.io/Logging_1430/tillsynsmail/A 2555-2023 tillsynsbegäran mail.docx", "A 2555-2023")</f>
        <v/>
      </c>
    </row>
    <row r="489" ht="15" customHeight="1">
      <c r="A489" t="inlineStr">
        <is>
          <t>A 3247-2023</t>
        </is>
      </c>
      <c r="B489" s="1" t="n">
        <v>44947</v>
      </c>
      <c r="C489" s="1" t="n">
        <v>45227</v>
      </c>
      <c r="D489" t="inlineStr">
        <is>
          <t>VÄSTRA GÖTALANDS LÄN</t>
        </is>
      </c>
      <c r="E489" t="inlineStr">
        <is>
          <t>TRANEMO</t>
        </is>
      </c>
      <c r="G489" t="n">
        <v>7.3</v>
      </c>
      <c r="H489" t="n">
        <v>1</v>
      </c>
      <c r="I489" t="n">
        <v>0</v>
      </c>
      <c r="J489" t="n">
        <v>0</v>
      </c>
      <c r="K489" t="n">
        <v>0</v>
      </c>
      <c r="L489" t="n">
        <v>0</v>
      </c>
      <c r="M489" t="n">
        <v>0</v>
      </c>
      <c r="N489" t="n">
        <v>0</v>
      </c>
      <c r="O489" t="n">
        <v>0</v>
      </c>
      <c r="P489" t="n">
        <v>0</v>
      </c>
      <c r="Q489" t="n">
        <v>1</v>
      </c>
      <c r="R489" s="2" t="inlineStr">
        <is>
          <t>Lopplummer</t>
        </is>
      </c>
      <c r="S489">
        <f>HYPERLINK("https://klasma.github.io/Logging_1452/artfynd/A 3247-2023 artfynd.xlsx", "A 3247-2023")</f>
        <v/>
      </c>
      <c r="T489">
        <f>HYPERLINK("https://klasma.github.io/Logging_1452/kartor/A 3247-2023 karta.png", "A 3247-2023")</f>
        <v/>
      </c>
      <c r="V489">
        <f>HYPERLINK("https://klasma.github.io/Logging_1452/klagomål/A 3247-2023 FSC-klagomål.docx", "A 3247-2023")</f>
        <v/>
      </c>
      <c r="W489">
        <f>HYPERLINK("https://klasma.github.io/Logging_1452/klagomålsmail/A 3247-2023 FSC-klagomål mail.docx", "A 3247-2023")</f>
        <v/>
      </c>
      <c r="X489">
        <f>HYPERLINK("https://klasma.github.io/Logging_1452/tillsyn/A 3247-2023 tillsynsbegäran.docx", "A 3247-2023")</f>
        <v/>
      </c>
      <c r="Y489">
        <f>HYPERLINK("https://klasma.github.io/Logging_1452/tillsynsmail/A 3247-2023 tillsynsbegäran mail.docx", "A 3247-2023")</f>
        <v/>
      </c>
    </row>
    <row r="490" ht="15" customHeight="1">
      <c r="A490" t="inlineStr">
        <is>
          <t>A 3272-2023</t>
        </is>
      </c>
      <c r="B490" s="1" t="n">
        <v>44949</v>
      </c>
      <c r="C490" s="1" t="n">
        <v>45227</v>
      </c>
      <c r="D490" t="inlineStr">
        <is>
          <t>VÄSTRA GÖTALANDS LÄN</t>
        </is>
      </c>
      <c r="E490" t="inlineStr">
        <is>
          <t>TJÖRN</t>
        </is>
      </c>
      <c r="G490" t="n">
        <v>8</v>
      </c>
      <c r="H490" t="n">
        <v>0</v>
      </c>
      <c r="I490" t="n">
        <v>1</v>
      </c>
      <c r="J490" t="n">
        <v>0</v>
      </c>
      <c r="K490" t="n">
        <v>0</v>
      </c>
      <c r="L490" t="n">
        <v>0</v>
      </c>
      <c r="M490" t="n">
        <v>0</v>
      </c>
      <c r="N490" t="n">
        <v>0</v>
      </c>
      <c r="O490" t="n">
        <v>0</v>
      </c>
      <c r="P490" t="n">
        <v>0</v>
      </c>
      <c r="Q490" t="n">
        <v>1</v>
      </c>
      <c r="R490" s="2" t="inlineStr">
        <is>
          <t>Kambräken</t>
        </is>
      </c>
      <c r="S490">
        <f>HYPERLINK("https://klasma.github.io/Logging_1419/artfynd/A 3272-2023 artfynd.xlsx", "A 3272-2023")</f>
        <v/>
      </c>
      <c r="T490">
        <f>HYPERLINK("https://klasma.github.io/Logging_1419/kartor/A 3272-2023 karta.png", "A 3272-2023")</f>
        <v/>
      </c>
      <c r="V490">
        <f>HYPERLINK("https://klasma.github.io/Logging_1419/klagomål/A 3272-2023 FSC-klagomål.docx", "A 3272-2023")</f>
        <v/>
      </c>
      <c r="W490">
        <f>HYPERLINK("https://klasma.github.io/Logging_1419/klagomålsmail/A 3272-2023 FSC-klagomål mail.docx", "A 3272-2023")</f>
        <v/>
      </c>
      <c r="X490">
        <f>HYPERLINK("https://klasma.github.io/Logging_1419/tillsyn/A 3272-2023 tillsynsbegäran.docx", "A 3272-2023")</f>
        <v/>
      </c>
      <c r="Y490">
        <f>HYPERLINK("https://klasma.github.io/Logging_1419/tillsynsmail/A 3272-2023 tillsynsbegäran mail.docx", "A 3272-2023")</f>
        <v/>
      </c>
    </row>
    <row r="491" ht="15" customHeight="1">
      <c r="A491" t="inlineStr">
        <is>
          <t>A 4113-2023</t>
        </is>
      </c>
      <c r="B491" s="1" t="n">
        <v>44952</v>
      </c>
      <c r="C491" s="1" t="n">
        <v>45227</v>
      </c>
      <c r="D491" t="inlineStr">
        <is>
          <t>VÄSTRA GÖTALANDS LÄN</t>
        </is>
      </c>
      <c r="E491" t="inlineStr">
        <is>
          <t>DALS-ED</t>
        </is>
      </c>
      <c r="G491" t="n">
        <v>7.9</v>
      </c>
      <c r="H491" t="n">
        <v>0</v>
      </c>
      <c r="I491" t="n">
        <v>0</v>
      </c>
      <c r="J491" t="n">
        <v>0</v>
      </c>
      <c r="K491" t="n">
        <v>1</v>
      </c>
      <c r="L491" t="n">
        <v>0</v>
      </c>
      <c r="M491" t="n">
        <v>0</v>
      </c>
      <c r="N491" t="n">
        <v>0</v>
      </c>
      <c r="O491" t="n">
        <v>1</v>
      </c>
      <c r="P491" t="n">
        <v>1</v>
      </c>
      <c r="Q491" t="n">
        <v>1</v>
      </c>
      <c r="R491" s="2" t="inlineStr">
        <is>
          <t>Slåttergubbe</t>
        </is>
      </c>
      <c r="S491">
        <f>HYPERLINK("https://klasma.github.io/Logging_1438/artfynd/A 4113-2023 artfynd.xlsx", "A 4113-2023")</f>
        <v/>
      </c>
      <c r="T491">
        <f>HYPERLINK("https://klasma.github.io/Logging_1438/kartor/A 4113-2023 karta.png", "A 4113-2023")</f>
        <v/>
      </c>
      <c r="V491">
        <f>HYPERLINK("https://klasma.github.io/Logging_1438/klagomål/A 4113-2023 FSC-klagomål.docx", "A 4113-2023")</f>
        <v/>
      </c>
      <c r="W491">
        <f>HYPERLINK("https://klasma.github.io/Logging_1438/klagomålsmail/A 4113-2023 FSC-klagomål mail.docx", "A 4113-2023")</f>
        <v/>
      </c>
      <c r="X491">
        <f>HYPERLINK("https://klasma.github.io/Logging_1438/tillsyn/A 4113-2023 tillsynsbegäran.docx", "A 4113-2023")</f>
        <v/>
      </c>
      <c r="Y491">
        <f>HYPERLINK("https://klasma.github.io/Logging_1438/tillsynsmail/A 4113-2023 tillsynsbegäran mail.docx", "A 4113-2023")</f>
        <v/>
      </c>
    </row>
    <row r="492" ht="15" customHeight="1">
      <c r="A492" t="inlineStr">
        <is>
          <t>A 6160-2023</t>
        </is>
      </c>
      <c r="B492" s="1" t="n">
        <v>44964</v>
      </c>
      <c r="C492" s="1" t="n">
        <v>45227</v>
      </c>
      <c r="D492" t="inlineStr">
        <is>
          <t>VÄSTRA GÖTALANDS LÄN</t>
        </is>
      </c>
      <c r="E492" t="inlineStr">
        <is>
          <t>TÖREBODA</t>
        </is>
      </c>
      <c r="G492" t="n">
        <v>1.6</v>
      </c>
      <c r="H492" t="n">
        <v>1</v>
      </c>
      <c r="I492" t="n">
        <v>0</v>
      </c>
      <c r="J492" t="n">
        <v>1</v>
      </c>
      <c r="K492" t="n">
        <v>0</v>
      </c>
      <c r="L492" t="n">
        <v>0</v>
      </c>
      <c r="M492" t="n">
        <v>0</v>
      </c>
      <c r="N492" t="n">
        <v>0</v>
      </c>
      <c r="O492" t="n">
        <v>1</v>
      </c>
      <c r="P492" t="n">
        <v>0</v>
      </c>
      <c r="Q492" t="n">
        <v>1</v>
      </c>
      <c r="R492" s="2" t="inlineStr">
        <is>
          <t>Havsörn</t>
        </is>
      </c>
      <c r="S492">
        <f>HYPERLINK("https://klasma.github.io/Logging_1473/artfynd/A 6160-2023 artfynd.xlsx", "A 6160-2023")</f>
        <v/>
      </c>
      <c r="T492">
        <f>HYPERLINK("https://klasma.github.io/Logging_1473/kartor/A 6160-2023 karta.png", "A 6160-2023")</f>
        <v/>
      </c>
      <c r="V492">
        <f>HYPERLINK("https://klasma.github.io/Logging_1473/klagomål/A 6160-2023 FSC-klagomål.docx", "A 6160-2023")</f>
        <v/>
      </c>
      <c r="W492">
        <f>HYPERLINK("https://klasma.github.io/Logging_1473/klagomålsmail/A 6160-2023 FSC-klagomål mail.docx", "A 6160-2023")</f>
        <v/>
      </c>
      <c r="X492">
        <f>HYPERLINK("https://klasma.github.io/Logging_1473/tillsyn/A 6160-2023 tillsynsbegäran.docx", "A 6160-2023")</f>
        <v/>
      </c>
      <c r="Y492">
        <f>HYPERLINK("https://klasma.github.io/Logging_1473/tillsynsmail/A 6160-2023 tillsynsbegäran mail.docx", "A 6160-2023")</f>
        <v/>
      </c>
    </row>
    <row r="493" ht="15" customHeight="1">
      <c r="A493" t="inlineStr">
        <is>
          <t>A 6166-2023</t>
        </is>
      </c>
      <c r="B493" s="1" t="n">
        <v>44964</v>
      </c>
      <c r="C493" s="1" t="n">
        <v>45227</v>
      </c>
      <c r="D493" t="inlineStr">
        <is>
          <t>VÄSTRA GÖTALANDS LÄN</t>
        </is>
      </c>
      <c r="E493" t="inlineStr">
        <is>
          <t>MARK</t>
        </is>
      </c>
      <c r="G493" t="n">
        <v>2.4</v>
      </c>
      <c r="H493" t="n">
        <v>1</v>
      </c>
      <c r="I493" t="n">
        <v>0</v>
      </c>
      <c r="J493" t="n">
        <v>0</v>
      </c>
      <c r="K493" t="n">
        <v>0</v>
      </c>
      <c r="L493" t="n">
        <v>0</v>
      </c>
      <c r="M493" t="n">
        <v>0</v>
      </c>
      <c r="N493" t="n">
        <v>0</v>
      </c>
      <c r="O493" t="n">
        <v>0</v>
      </c>
      <c r="P493" t="n">
        <v>0</v>
      </c>
      <c r="Q493" t="n">
        <v>1</v>
      </c>
      <c r="R493" s="2" t="inlineStr">
        <is>
          <t>Fläcknycklar</t>
        </is>
      </c>
      <c r="S493">
        <f>HYPERLINK("https://klasma.github.io/Logging_1463/artfynd/A 6166-2023 artfynd.xlsx", "A 6166-2023")</f>
        <v/>
      </c>
      <c r="T493">
        <f>HYPERLINK("https://klasma.github.io/Logging_1463/kartor/A 6166-2023 karta.png", "A 6166-2023")</f>
        <v/>
      </c>
      <c r="V493">
        <f>HYPERLINK("https://klasma.github.io/Logging_1463/klagomål/A 6166-2023 FSC-klagomål.docx", "A 6166-2023")</f>
        <v/>
      </c>
      <c r="W493">
        <f>HYPERLINK("https://klasma.github.io/Logging_1463/klagomålsmail/A 6166-2023 FSC-klagomål mail.docx", "A 6166-2023")</f>
        <v/>
      </c>
      <c r="X493">
        <f>HYPERLINK("https://klasma.github.io/Logging_1463/tillsyn/A 6166-2023 tillsynsbegäran.docx", "A 6166-2023")</f>
        <v/>
      </c>
      <c r="Y493">
        <f>HYPERLINK("https://klasma.github.io/Logging_1463/tillsynsmail/A 6166-2023 tillsynsbegäran mail.docx", "A 6166-2023")</f>
        <v/>
      </c>
    </row>
    <row r="494" ht="15" customHeight="1">
      <c r="A494" t="inlineStr">
        <is>
          <t>A 7707-2023</t>
        </is>
      </c>
      <c r="B494" s="1" t="n">
        <v>44969</v>
      </c>
      <c r="C494" s="1" t="n">
        <v>45227</v>
      </c>
      <c r="D494" t="inlineStr">
        <is>
          <t>VÄSTRA GÖTALANDS LÄN</t>
        </is>
      </c>
      <c r="E494" t="inlineStr">
        <is>
          <t>TANUM</t>
        </is>
      </c>
      <c r="G494" t="n">
        <v>1.5</v>
      </c>
      <c r="H494" t="n">
        <v>1</v>
      </c>
      <c r="I494" t="n">
        <v>0</v>
      </c>
      <c r="J494" t="n">
        <v>0</v>
      </c>
      <c r="K494" t="n">
        <v>0</v>
      </c>
      <c r="L494" t="n">
        <v>0</v>
      </c>
      <c r="M494" t="n">
        <v>0</v>
      </c>
      <c r="N494" t="n">
        <v>0</v>
      </c>
      <c r="O494" t="n">
        <v>0</v>
      </c>
      <c r="P494" t="n">
        <v>0</v>
      </c>
      <c r="Q494" t="n">
        <v>1</v>
      </c>
      <c r="R494" s="2" t="inlineStr">
        <is>
          <t>Blåsippa</t>
        </is>
      </c>
      <c r="S494">
        <f>HYPERLINK("https://klasma.github.io/Logging_1435/artfynd/A 7707-2023 artfynd.xlsx", "A 7707-2023")</f>
        <v/>
      </c>
      <c r="T494">
        <f>HYPERLINK("https://klasma.github.io/Logging_1435/kartor/A 7707-2023 karta.png", "A 7707-2023")</f>
        <v/>
      </c>
      <c r="V494">
        <f>HYPERLINK("https://klasma.github.io/Logging_1435/klagomål/A 7707-2023 FSC-klagomål.docx", "A 7707-2023")</f>
        <v/>
      </c>
      <c r="W494">
        <f>HYPERLINK("https://klasma.github.io/Logging_1435/klagomålsmail/A 7707-2023 FSC-klagomål mail.docx", "A 7707-2023")</f>
        <v/>
      </c>
      <c r="X494">
        <f>HYPERLINK("https://klasma.github.io/Logging_1435/tillsyn/A 7707-2023 tillsynsbegäran.docx", "A 7707-2023")</f>
        <v/>
      </c>
      <c r="Y494">
        <f>HYPERLINK("https://klasma.github.io/Logging_1435/tillsynsmail/A 7707-2023 tillsynsbegäran mail.docx", "A 7707-2023")</f>
        <v/>
      </c>
    </row>
    <row r="495" ht="15" customHeight="1">
      <c r="A495" t="inlineStr">
        <is>
          <t>A 8144-2023</t>
        </is>
      </c>
      <c r="B495" s="1" t="n">
        <v>44974</v>
      </c>
      <c r="C495" s="1" t="n">
        <v>45227</v>
      </c>
      <c r="D495" t="inlineStr">
        <is>
          <t>VÄSTRA GÖTALANDS LÄN</t>
        </is>
      </c>
      <c r="E495" t="inlineStr">
        <is>
          <t>MARIESTAD</t>
        </is>
      </c>
      <c r="G495" t="n">
        <v>4</v>
      </c>
      <c r="H495" t="n">
        <v>1</v>
      </c>
      <c r="I495" t="n">
        <v>0</v>
      </c>
      <c r="J495" t="n">
        <v>0</v>
      </c>
      <c r="K495" t="n">
        <v>0</v>
      </c>
      <c r="L495" t="n">
        <v>1</v>
      </c>
      <c r="M495" t="n">
        <v>0</v>
      </c>
      <c r="N495" t="n">
        <v>0</v>
      </c>
      <c r="O495" t="n">
        <v>1</v>
      </c>
      <c r="P495" t="n">
        <v>1</v>
      </c>
      <c r="Q495" t="n">
        <v>1</v>
      </c>
      <c r="R495" s="2" t="inlineStr">
        <is>
          <t>Tornseglare</t>
        </is>
      </c>
      <c r="S495">
        <f>HYPERLINK("https://klasma.github.io/Logging_1493/artfynd/A 8144-2023 artfynd.xlsx", "A 8144-2023")</f>
        <v/>
      </c>
      <c r="T495">
        <f>HYPERLINK("https://klasma.github.io/Logging_1493/kartor/A 8144-2023 karta.png", "A 8144-2023")</f>
        <v/>
      </c>
      <c r="V495">
        <f>HYPERLINK("https://klasma.github.io/Logging_1493/klagomål/A 8144-2023 FSC-klagomål.docx", "A 8144-2023")</f>
        <v/>
      </c>
      <c r="W495">
        <f>HYPERLINK("https://klasma.github.io/Logging_1493/klagomålsmail/A 8144-2023 FSC-klagomål mail.docx", "A 8144-2023")</f>
        <v/>
      </c>
      <c r="X495">
        <f>HYPERLINK("https://klasma.github.io/Logging_1493/tillsyn/A 8144-2023 tillsynsbegäran.docx", "A 8144-2023")</f>
        <v/>
      </c>
      <c r="Y495">
        <f>HYPERLINK("https://klasma.github.io/Logging_1493/tillsynsmail/A 8144-2023 tillsynsbegäran mail.docx", "A 8144-2023")</f>
        <v/>
      </c>
    </row>
    <row r="496" ht="15" customHeight="1">
      <c r="A496" t="inlineStr">
        <is>
          <t>A 9934-2023</t>
        </is>
      </c>
      <c r="B496" s="1" t="n">
        <v>44978</v>
      </c>
      <c r="C496" s="1" t="n">
        <v>45227</v>
      </c>
      <c r="D496" t="inlineStr">
        <is>
          <t>VÄSTRA GÖTALANDS LÄN</t>
        </is>
      </c>
      <c r="E496" t="inlineStr">
        <is>
          <t>MUNKEDAL</t>
        </is>
      </c>
      <c r="G496" t="n">
        <v>2</v>
      </c>
      <c r="H496" t="n">
        <v>1</v>
      </c>
      <c r="I496" t="n">
        <v>0</v>
      </c>
      <c r="J496" t="n">
        <v>1</v>
      </c>
      <c r="K496" t="n">
        <v>0</v>
      </c>
      <c r="L496" t="n">
        <v>0</v>
      </c>
      <c r="M496" t="n">
        <v>0</v>
      </c>
      <c r="N496" t="n">
        <v>0</v>
      </c>
      <c r="O496" t="n">
        <v>1</v>
      </c>
      <c r="P496" t="n">
        <v>0</v>
      </c>
      <c r="Q496" t="n">
        <v>1</v>
      </c>
      <c r="R496" s="2" t="inlineStr">
        <is>
          <t>Spillkråka</t>
        </is>
      </c>
      <c r="S496">
        <f>HYPERLINK("https://klasma.github.io/Logging_1430/artfynd/A 9934-2023 artfynd.xlsx", "A 9934-2023")</f>
        <v/>
      </c>
      <c r="T496">
        <f>HYPERLINK("https://klasma.github.io/Logging_1430/kartor/A 9934-2023 karta.png", "A 9934-2023")</f>
        <v/>
      </c>
      <c r="V496">
        <f>HYPERLINK("https://klasma.github.io/Logging_1430/klagomål/A 9934-2023 FSC-klagomål.docx", "A 9934-2023")</f>
        <v/>
      </c>
      <c r="W496">
        <f>HYPERLINK("https://klasma.github.io/Logging_1430/klagomålsmail/A 9934-2023 FSC-klagomål mail.docx", "A 9934-2023")</f>
        <v/>
      </c>
      <c r="X496">
        <f>HYPERLINK("https://klasma.github.io/Logging_1430/tillsyn/A 9934-2023 tillsynsbegäran.docx", "A 9934-2023")</f>
        <v/>
      </c>
      <c r="Y496">
        <f>HYPERLINK("https://klasma.github.io/Logging_1430/tillsynsmail/A 9934-2023 tillsynsbegäran mail.docx", "A 9934-2023")</f>
        <v/>
      </c>
    </row>
    <row r="497" ht="15" customHeight="1">
      <c r="A497" t="inlineStr">
        <is>
          <t>A 9277-2023</t>
        </is>
      </c>
      <c r="B497" s="1" t="n">
        <v>44980</v>
      </c>
      <c r="C497" s="1" t="n">
        <v>45227</v>
      </c>
      <c r="D497" t="inlineStr">
        <is>
          <t>VÄSTRA GÖTALANDS LÄN</t>
        </is>
      </c>
      <c r="E497" t="inlineStr">
        <is>
          <t>SKARA</t>
        </is>
      </c>
      <c r="G497" t="n">
        <v>1.3</v>
      </c>
      <c r="H497" t="n">
        <v>1</v>
      </c>
      <c r="I497" t="n">
        <v>0</v>
      </c>
      <c r="J497" t="n">
        <v>0</v>
      </c>
      <c r="K497" t="n">
        <v>0</v>
      </c>
      <c r="L497" t="n">
        <v>0</v>
      </c>
      <c r="M497" t="n">
        <v>0</v>
      </c>
      <c r="N497" t="n">
        <v>0</v>
      </c>
      <c r="O497" t="n">
        <v>0</v>
      </c>
      <c r="P497" t="n">
        <v>0</v>
      </c>
      <c r="Q497" t="n">
        <v>1</v>
      </c>
      <c r="R497" s="2" t="inlineStr">
        <is>
          <t>Grönvit nattviol</t>
        </is>
      </c>
      <c r="S497">
        <f>HYPERLINK("https://klasma.github.io/Logging_1495/artfynd/A 9277-2023 artfynd.xlsx", "A 9277-2023")</f>
        <v/>
      </c>
      <c r="T497">
        <f>HYPERLINK("https://klasma.github.io/Logging_1495/kartor/A 9277-2023 karta.png", "A 9277-2023")</f>
        <v/>
      </c>
      <c r="V497">
        <f>HYPERLINK("https://klasma.github.io/Logging_1495/klagomål/A 9277-2023 FSC-klagomål.docx", "A 9277-2023")</f>
        <v/>
      </c>
      <c r="W497">
        <f>HYPERLINK("https://klasma.github.io/Logging_1495/klagomålsmail/A 9277-2023 FSC-klagomål mail.docx", "A 9277-2023")</f>
        <v/>
      </c>
      <c r="X497">
        <f>HYPERLINK("https://klasma.github.io/Logging_1495/tillsyn/A 9277-2023 tillsynsbegäran.docx", "A 9277-2023")</f>
        <v/>
      </c>
      <c r="Y497">
        <f>HYPERLINK("https://klasma.github.io/Logging_1495/tillsynsmail/A 9277-2023 tillsynsbegäran mail.docx", "A 9277-2023")</f>
        <v/>
      </c>
    </row>
    <row r="498" ht="15" customHeight="1">
      <c r="A498" t="inlineStr">
        <is>
          <t>A 9136-2023</t>
        </is>
      </c>
      <c r="B498" s="1" t="n">
        <v>44980</v>
      </c>
      <c r="C498" s="1" t="n">
        <v>45227</v>
      </c>
      <c r="D498" t="inlineStr">
        <is>
          <t>VÄSTRA GÖTALANDS LÄN</t>
        </is>
      </c>
      <c r="E498" t="inlineStr">
        <is>
          <t>SKARA</t>
        </is>
      </c>
      <c r="G498" t="n">
        <v>2.1</v>
      </c>
      <c r="H498" t="n">
        <v>0</v>
      </c>
      <c r="I498" t="n">
        <v>1</v>
      </c>
      <c r="J498" t="n">
        <v>0</v>
      </c>
      <c r="K498" t="n">
        <v>0</v>
      </c>
      <c r="L498" t="n">
        <v>0</v>
      </c>
      <c r="M498" t="n">
        <v>0</v>
      </c>
      <c r="N498" t="n">
        <v>0</v>
      </c>
      <c r="O498" t="n">
        <v>0</v>
      </c>
      <c r="P498" t="n">
        <v>0</v>
      </c>
      <c r="Q498" t="n">
        <v>1</v>
      </c>
      <c r="R498" s="2" t="inlineStr">
        <is>
          <t>Lundbräsma</t>
        </is>
      </c>
      <c r="S498">
        <f>HYPERLINK("https://klasma.github.io/Logging_1495/artfynd/A 9136-2023 artfynd.xlsx", "A 9136-2023")</f>
        <v/>
      </c>
      <c r="T498">
        <f>HYPERLINK("https://klasma.github.io/Logging_1495/kartor/A 9136-2023 karta.png", "A 9136-2023")</f>
        <v/>
      </c>
      <c r="V498">
        <f>HYPERLINK("https://klasma.github.io/Logging_1495/klagomål/A 9136-2023 FSC-klagomål.docx", "A 9136-2023")</f>
        <v/>
      </c>
      <c r="W498">
        <f>HYPERLINK("https://klasma.github.io/Logging_1495/klagomålsmail/A 9136-2023 FSC-klagomål mail.docx", "A 9136-2023")</f>
        <v/>
      </c>
      <c r="X498">
        <f>HYPERLINK("https://klasma.github.io/Logging_1495/tillsyn/A 9136-2023 tillsynsbegäran.docx", "A 9136-2023")</f>
        <v/>
      </c>
      <c r="Y498">
        <f>HYPERLINK("https://klasma.github.io/Logging_1495/tillsynsmail/A 9136-2023 tillsynsbegäran mail.docx", "A 9136-2023")</f>
        <v/>
      </c>
    </row>
    <row r="499" ht="15" customHeight="1">
      <c r="A499" t="inlineStr">
        <is>
          <t>A 9601-2023</t>
        </is>
      </c>
      <c r="B499" s="1" t="n">
        <v>44983</v>
      </c>
      <c r="C499" s="1" t="n">
        <v>45227</v>
      </c>
      <c r="D499" t="inlineStr">
        <is>
          <t>VÄSTRA GÖTALANDS LÄN</t>
        </is>
      </c>
      <c r="E499" t="inlineStr">
        <is>
          <t>TRANEMO</t>
        </is>
      </c>
      <c r="G499" t="n">
        <v>2.7</v>
      </c>
      <c r="H499" t="n">
        <v>1</v>
      </c>
      <c r="I499" t="n">
        <v>0</v>
      </c>
      <c r="J499" t="n">
        <v>0</v>
      </c>
      <c r="K499" t="n">
        <v>1</v>
      </c>
      <c r="L499" t="n">
        <v>0</v>
      </c>
      <c r="M499" t="n">
        <v>0</v>
      </c>
      <c r="N499" t="n">
        <v>0</v>
      </c>
      <c r="O499" t="n">
        <v>1</v>
      </c>
      <c r="P499" t="n">
        <v>1</v>
      </c>
      <c r="Q499" t="n">
        <v>1</v>
      </c>
      <c r="R499" s="2" t="inlineStr">
        <is>
          <t>Knärot</t>
        </is>
      </c>
      <c r="S499">
        <f>HYPERLINK("https://klasma.github.io/Logging_1452/artfynd/A 9601-2023 artfynd.xlsx", "A 9601-2023")</f>
        <v/>
      </c>
      <c r="T499">
        <f>HYPERLINK("https://klasma.github.io/Logging_1452/kartor/A 9601-2023 karta.png", "A 9601-2023")</f>
        <v/>
      </c>
      <c r="U499">
        <f>HYPERLINK("https://klasma.github.io/Logging_1452/knärot/A 9601-2023 karta knärot.png", "A 9601-2023")</f>
        <v/>
      </c>
      <c r="V499">
        <f>HYPERLINK("https://klasma.github.io/Logging_1452/klagomål/A 9601-2023 FSC-klagomål.docx", "A 9601-2023")</f>
        <v/>
      </c>
      <c r="W499">
        <f>HYPERLINK("https://klasma.github.io/Logging_1452/klagomålsmail/A 9601-2023 FSC-klagomål mail.docx", "A 9601-2023")</f>
        <v/>
      </c>
      <c r="X499">
        <f>HYPERLINK("https://klasma.github.io/Logging_1452/tillsyn/A 9601-2023 tillsynsbegäran.docx", "A 9601-2023")</f>
        <v/>
      </c>
      <c r="Y499">
        <f>HYPERLINK("https://klasma.github.io/Logging_1452/tillsynsmail/A 9601-2023 tillsynsbegäran mail.docx", "A 9601-2023")</f>
        <v/>
      </c>
    </row>
    <row r="500" ht="15" customHeight="1">
      <c r="A500" t="inlineStr">
        <is>
          <t>A 9985-2023</t>
        </is>
      </c>
      <c r="B500" s="1" t="n">
        <v>44985</v>
      </c>
      <c r="C500" s="1" t="n">
        <v>45227</v>
      </c>
      <c r="D500" t="inlineStr">
        <is>
          <t>VÄSTRA GÖTALANDS LÄN</t>
        </is>
      </c>
      <c r="E500" t="inlineStr">
        <is>
          <t>TÖREBODA</t>
        </is>
      </c>
      <c r="G500" t="n">
        <v>5.5</v>
      </c>
      <c r="H500" t="n">
        <v>1</v>
      </c>
      <c r="I500" t="n">
        <v>0</v>
      </c>
      <c r="J500" t="n">
        <v>0</v>
      </c>
      <c r="K500" t="n">
        <v>0</v>
      </c>
      <c r="L500" t="n">
        <v>0</v>
      </c>
      <c r="M500" t="n">
        <v>0</v>
      </c>
      <c r="N500" t="n">
        <v>0</v>
      </c>
      <c r="O500" t="n">
        <v>0</v>
      </c>
      <c r="P500" t="n">
        <v>0</v>
      </c>
      <c r="Q500" t="n">
        <v>1</v>
      </c>
      <c r="R500" s="2" t="inlineStr">
        <is>
          <t>Revlummer</t>
        </is>
      </c>
      <c r="S500">
        <f>HYPERLINK("https://klasma.github.io/Logging_1473/artfynd/A 9985-2023 artfynd.xlsx", "A 9985-2023")</f>
        <v/>
      </c>
      <c r="T500">
        <f>HYPERLINK("https://klasma.github.io/Logging_1473/kartor/A 9985-2023 karta.png", "A 9985-2023")</f>
        <v/>
      </c>
      <c r="V500">
        <f>HYPERLINK("https://klasma.github.io/Logging_1473/klagomål/A 9985-2023 FSC-klagomål.docx", "A 9985-2023")</f>
        <v/>
      </c>
      <c r="W500">
        <f>HYPERLINK("https://klasma.github.io/Logging_1473/klagomålsmail/A 9985-2023 FSC-klagomål mail.docx", "A 9985-2023")</f>
        <v/>
      </c>
      <c r="X500">
        <f>HYPERLINK("https://klasma.github.io/Logging_1473/tillsyn/A 9985-2023 tillsynsbegäran.docx", "A 9985-2023")</f>
        <v/>
      </c>
      <c r="Y500">
        <f>HYPERLINK("https://klasma.github.io/Logging_1473/tillsynsmail/A 9985-2023 tillsynsbegäran mail.docx", "A 9985-2023")</f>
        <v/>
      </c>
    </row>
    <row r="501" ht="15" customHeight="1">
      <c r="A501" t="inlineStr">
        <is>
          <t>A 10610-2023</t>
        </is>
      </c>
      <c r="B501" s="1" t="n">
        <v>44988</v>
      </c>
      <c r="C501" s="1" t="n">
        <v>45227</v>
      </c>
      <c r="D501" t="inlineStr">
        <is>
          <t>VÄSTRA GÖTALANDS LÄN</t>
        </is>
      </c>
      <c r="E501" t="inlineStr">
        <is>
          <t>SKÖVDE</t>
        </is>
      </c>
      <c r="F501" t="inlineStr">
        <is>
          <t>Kommuner</t>
        </is>
      </c>
      <c r="G501" t="n">
        <v>8</v>
      </c>
      <c r="H501" t="n">
        <v>1</v>
      </c>
      <c r="I501" t="n">
        <v>0</v>
      </c>
      <c r="J501" t="n">
        <v>0</v>
      </c>
      <c r="K501" t="n">
        <v>0</v>
      </c>
      <c r="L501" t="n">
        <v>0</v>
      </c>
      <c r="M501" t="n">
        <v>0</v>
      </c>
      <c r="N501" t="n">
        <v>0</v>
      </c>
      <c r="O501" t="n">
        <v>0</v>
      </c>
      <c r="P501" t="n">
        <v>0</v>
      </c>
      <c r="Q501" t="n">
        <v>1</v>
      </c>
      <c r="R501" s="2" t="inlineStr">
        <is>
          <t>Revlummer</t>
        </is>
      </c>
      <c r="S501">
        <f>HYPERLINK("https://klasma.github.io/Logging_1496/artfynd/A 10610-2023 artfynd.xlsx", "A 10610-2023")</f>
        <v/>
      </c>
      <c r="T501">
        <f>HYPERLINK("https://klasma.github.io/Logging_1496/kartor/A 10610-2023 karta.png", "A 10610-2023")</f>
        <v/>
      </c>
      <c r="V501">
        <f>HYPERLINK("https://klasma.github.io/Logging_1496/klagomål/A 10610-2023 FSC-klagomål.docx", "A 10610-2023")</f>
        <v/>
      </c>
      <c r="W501">
        <f>HYPERLINK("https://klasma.github.io/Logging_1496/klagomålsmail/A 10610-2023 FSC-klagomål mail.docx", "A 10610-2023")</f>
        <v/>
      </c>
      <c r="X501">
        <f>HYPERLINK("https://klasma.github.io/Logging_1496/tillsyn/A 10610-2023 tillsynsbegäran.docx", "A 10610-2023")</f>
        <v/>
      </c>
      <c r="Y501">
        <f>HYPERLINK("https://klasma.github.io/Logging_1496/tillsynsmail/A 10610-2023 tillsynsbegäran mail.docx", "A 10610-2023")</f>
        <v/>
      </c>
    </row>
    <row r="502" ht="15" customHeight="1">
      <c r="A502" t="inlineStr">
        <is>
          <t>A 11214-2023</t>
        </is>
      </c>
      <c r="B502" s="1" t="n">
        <v>44992</v>
      </c>
      <c r="C502" s="1" t="n">
        <v>45227</v>
      </c>
      <c r="D502" t="inlineStr">
        <is>
          <t>VÄSTRA GÖTALANDS LÄN</t>
        </is>
      </c>
      <c r="E502" t="inlineStr">
        <is>
          <t>VÅRGÅRDA</t>
        </is>
      </c>
      <c r="G502" t="n">
        <v>1.9</v>
      </c>
      <c r="H502" t="n">
        <v>1</v>
      </c>
      <c r="I502" t="n">
        <v>0</v>
      </c>
      <c r="J502" t="n">
        <v>0</v>
      </c>
      <c r="K502" t="n">
        <v>1</v>
      </c>
      <c r="L502" t="n">
        <v>0</v>
      </c>
      <c r="M502" t="n">
        <v>0</v>
      </c>
      <c r="N502" t="n">
        <v>0</v>
      </c>
      <c r="O502" t="n">
        <v>1</v>
      </c>
      <c r="P502" t="n">
        <v>1</v>
      </c>
      <c r="Q502" t="n">
        <v>1</v>
      </c>
      <c r="R502" s="2" t="inlineStr">
        <is>
          <t>Stare</t>
        </is>
      </c>
      <c r="S502">
        <f>HYPERLINK("https://klasma.github.io/Logging_1442/artfynd/A 11214-2023 artfynd.xlsx", "A 11214-2023")</f>
        <v/>
      </c>
      <c r="T502">
        <f>HYPERLINK("https://klasma.github.io/Logging_1442/kartor/A 11214-2023 karta.png", "A 11214-2023")</f>
        <v/>
      </c>
      <c r="V502">
        <f>HYPERLINK("https://klasma.github.io/Logging_1442/klagomål/A 11214-2023 FSC-klagomål.docx", "A 11214-2023")</f>
        <v/>
      </c>
      <c r="W502">
        <f>HYPERLINK("https://klasma.github.io/Logging_1442/klagomålsmail/A 11214-2023 FSC-klagomål mail.docx", "A 11214-2023")</f>
        <v/>
      </c>
      <c r="X502">
        <f>HYPERLINK("https://klasma.github.io/Logging_1442/tillsyn/A 11214-2023 tillsynsbegäran.docx", "A 11214-2023")</f>
        <v/>
      </c>
      <c r="Y502">
        <f>HYPERLINK("https://klasma.github.io/Logging_1442/tillsynsmail/A 11214-2023 tillsynsbegäran mail.docx", "A 11214-2023")</f>
        <v/>
      </c>
    </row>
    <row r="503" ht="15" customHeight="1">
      <c r="A503" t="inlineStr">
        <is>
          <t>A 12892-2023</t>
        </is>
      </c>
      <c r="B503" s="1" t="n">
        <v>45001</v>
      </c>
      <c r="C503" s="1" t="n">
        <v>45227</v>
      </c>
      <c r="D503" t="inlineStr">
        <is>
          <t>VÄSTRA GÖTALANDS LÄN</t>
        </is>
      </c>
      <c r="E503" t="inlineStr">
        <is>
          <t>STENUNGSUND</t>
        </is>
      </c>
      <c r="G503" t="n">
        <v>11.1</v>
      </c>
      <c r="H503" t="n">
        <v>1</v>
      </c>
      <c r="I503" t="n">
        <v>0</v>
      </c>
      <c r="J503" t="n">
        <v>0</v>
      </c>
      <c r="K503" t="n">
        <v>1</v>
      </c>
      <c r="L503" t="n">
        <v>0</v>
      </c>
      <c r="M503" t="n">
        <v>0</v>
      </c>
      <c r="N503" t="n">
        <v>0</v>
      </c>
      <c r="O503" t="n">
        <v>1</v>
      </c>
      <c r="P503" t="n">
        <v>1</v>
      </c>
      <c r="Q503" t="n">
        <v>1</v>
      </c>
      <c r="R503" s="2" t="inlineStr">
        <is>
          <t>Hedjohannesört</t>
        </is>
      </c>
      <c r="S503">
        <f>HYPERLINK("https://klasma.github.io/Logging_1415/artfynd/A 12892-2023 artfynd.xlsx", "A 12892-2023")</f>
        <v/>
      </c>
      <c r="T503">
        <f>HYPERLINK("https://klasma.github.io/Logging_1415/kartor/A 12892-2023 karta.png", "A 12892-2023")</f>
        <v/>
      </c>
      <c r="V503">
        <f>HYPERLINK("https://klasma.github.io/Logging_1415/klagomål/A 12892-2023 FSC-klagomål.docx", "A 12892-2023")</f>
        <v/>
      </c>
      <c r="W503">
        <f>HYPERLINK("https://klasma.github.io/Logging_1415/klagomålsmail/A 12892-2023 FSC-klagomål mail.docx", "A 12892-2023")</f>
        <v/>
      </c>
      <c r="X503">
        <f>HYPERLINK("https://klasma.github.io/Logging_1415/tillsyn/A 12892-2023 tillsynsbegäran.docx", "A 12892-2023")</f>
        <v/>
      </c>
      <c r="Y503">
        <f>HYPERLINK("https://klasma.github.io/Logging_1415/tillsynsmail/A 12892-2023 tillsynsbegäran mail.docx", "A 12892-2023")</f>
        <v/>
      </c>
    </row>
    <row r="504" ht="15" customHeight="1">
      <c r="A504" t="inlineStr">
        <is>
          <t>A 12807-2023</t>
        </is>
      </c>
      <c r="B504" s="1" t="n">
        <v>45001</v>
      </c>
      <c r="C504" s="1" t="n">
        <v>45227</v>
      </c>
      <c r="D504" t="inlineStr">
        <is>
          <t>VÄSTRA GÖTALANDS LÄN</t>
        </is>
      </c>
      <c r="E504" t="inlineStr">
        <is>
          <t>MARK</t>
        </is>
      </c>
      <c r="G504" t="n">
        <v>2.2</v>
      </c>
      <c r="H504" t="n">
        <v>1</v>
      </c>
      <c r="I504" t="n">
        <v>0</v>
      </c>
      <c r="J504" t="n">
        <v>0</v>
      </c>
      <c r="K504" t="n">
        <v>1</v>
      </c>
      <c r="L504" t="n">
        <v>0</v>
      </c>
      <c r="M504" t="n">
        <v>0</v>
      </c>
      <c r="N504" t="n">
        <v>0</v>
      </c>
      <c r="O504" t="n">
        <v>1</v>
      </c>
      <c r="P504" t="n">
        <v>1</v>
      </c>
      <c r="Q504" t="n">
        <v>1</v>
      </c>
      <c r="R504" s="2" t="inlineStr">
        <is>
          <t>Knärot</t>
        </is>
      </c>
      <c r="S504">
        <f>HYPERLINK("https://klasma.github.io/Logging_1463/artfynd/A 12807-2023 artfynd.xlsx", "A 12807-2023")</f>
        <v/>
      </c>
      <c r="T504">
        <f>HYPERLINK("https://klasma.github.io/Logging_1463/kartor/A 12807-2023 karta.png", "A 12807-2023")</f>
        <v/>
      </c>
      <c r="U504">
        <f>HYPERLINK("https://klasma.github.io/Logging_1463/knärot/A 12807-2023 karta knärot.png", "A 12807-2023")</f>
        <v/>
      </c>
      <c r="V504">
        <f>HYPERLINK("https://klasma.github.io/Logging_1463/klagomål/A 12807-2023 FSC-klagomål.docx", "A 12807-2023")</f>
        <v/>
      </c>
      <c r="W504">
        <f>HYPERLINK("https://klasma.github.io/Logging_1463/klagomålsmail/A 12807-2023 FSC-klagomål mail.docx", "A 12807-2023")</f>
        <v/>
      </c>
      <c r="X504">
        <f>HYPERLINK("https://klasma.github.io/Logging_1463/tillsyn/A 12807-2023 tillsynsbegäran.docx", "A 12807-2023")</f>
        <v/>
      </c>
      <c r="Y504">
        <f>HYPERLINK("https://klasma.github.io/Logging_1463/tillsynsmail/A 12807-2023 tillsynsbegäran mail.docx", "A 12807-2023")</f>
        <v/>
      </c>
    </row>
    <row r="505" ht="15" customHeight="1">
      <c r="A505" t="inlineStr">
        <is>
          <t>A 13991-2023</t>
        </is>
      </c>
      <c r="B505" s="1" t="n">
        <v>45008</v>
      </c>
      <c r="C505" s="1" t="n">
        <v>45227</v>
      </c>
      <c r="D505" t="inlineStr">
        <is>
          <t>VÄSTRA GÖTALANDS LÄN</t>
        </is>
      </c>
      <c r="E505" t="inlineStr">
        <is>
          <t>VÅRGÅRDA</t>
        </is>
      </c>
      <c r="G505" t="n">
        <v>0.2</v>
      </c>
      <c r="H505" t="n">
        <v>0</v>
      </c>
      <c r="I505" t="n">
        <v>0</v>
      </c>
      <c r="J505" t="n">
        <v>1</v>
      </c>
      <c r="K505" t="n">
        <v>0</v>
      </c>
      <c r="L505" t="n">
        <v>0</v>
      </c>
      <c r="M505" t="n">
        <v>0</v>
      </c>
      <c r="N505" t="n">
        <v>0</v>
      </c>
      <c r="O505" t="n">
        <v>1</v>
      </c>
      <c r="P505" t="n">
        <v>0</v>
      </c>
      <c r="Q505" t="n">
        <v>1</v>
      </c>
      <c r="R505" s="2" t="inlineStr">
        <is>
          <t>Borsttåg</t>
        </is>
      </c>
      <c r="S505">
        <f>HYPERLINK("https://klasma.github.io/Logging_1442/artfynd/A 13991-2023 artfynd.xlsx", "A 13991-2023")</f>
        <v/>
      </c>
      <c r="T505">
        <f>HYPERLINK("https://klasma.github.io/Logging_1442/kartor/A 13991-2023 karta.png", "A 13991-2023")</f>
        <v/>
      </c>
      <c r="V505">
        <f>HYPERLINK("https://klasma.github.io/Logging_1442/klagomål/A 13991-2023 FSC-klagomål.docx", "A 13991-2023")</f>
        <v/>
      </c>
      <c r="W505">
        <f>HYPERLINK("https://klasma.github.io/Logging_1442/klagomålsmail/A 13991-2023 FSC-klagomål mail.docx", "A 13991-2023")</f>
        <v/>
      </c>
      <c r="X505">
        <f>HYPERLINK("https://klasma.github.io/Logging_1442/tillsyn/A 13991-2023 tillsynsbegäran.docx", "A 13991-2023")</f>
        <v/>
      </c>
      <c r="Y505">
        <f>HYPERLINK("https://klasma.github.io/Logging_1442/tillsynsmail/A 13991-2023 tillsynsbegäran mail.docx", "A 13991-2023")</f>
        <v/>
      </c>
    </row>
    <row r="506" ht="15" customHeight="1">
      <c r="A506" t="inlineStr">
        <is>
          <t>A 14788-2023</t>
        </is>
      </c>
      <c r="B506" s="1" t="n">
        <v>45014</v>
      </c>
      <c r="C506" s="1" t="n">
        <v>45227</v>
      </c>
      <c r="D506" t="inlineStr">
        <is>
          <t>VÄSTRA GÖTALANDS LÄN</t>
        </is>
      </c>
      <c r="E506" t="inlineStr">
        <is>
          <t>ORUST</t>
        </is>
      </c>
      <c r="G506" t="n">
        <v>4</v>
      </c>
      <c r="H506" t="n">
        <v>1</v>
      </c>
      <c r="I506" t="n">
        <v>0</v>
      </c>
      <c r="J506" t="n">
        <v>0</v>
      </c>
      <c r="K506" t="n">
        <v>1</v>
      </c>
      <c r="L506" t="n">
        <v>0</v>
      </c>
      <c r="M506" t="n">
        <v>0</v>
      </c>
      <c r="N506" t="n">
        <v>0</v>
      </c>
      <c r="O506" t="n">
        <v>1</v>
      </c>
      <c r="P506" t="n">
        <v>1</v>
      </c>
      <c r="Q506" t="n">
        <v>1</v>
      </c>
      <c r="R506" s="2" t="inlineStr">
        <is>
          <t>Knärot</t>
        </is>
      </c>
      <c r="S506">
        <f>HYPERLINK("https://klasma.github.io/Logging_1421/artfynd/A 14788-2023 artfynd.xlsx", "A 14788-2023")</f>
        <v/>
      </c>
      <c r="T506">
        <f>HYPERLINK("https://klasma.github.io/Logging_1421/kartor/A 14788-2023 karta.png", "A 14788-2023")</f>
        <v/>
      </c>
      <c r="U506">
        <f>HYPERLINK("https://klasma.github.io/Logging_1421/knärot/A 14788-2023 karta knärot.png", "A 14788-2023")</f>
        <v/>
      </c>
      <c r="V506">
        <f>HYPERLINK("https://klasma.github.io/Logging_1421/klagomål/A 14788-2023 FSC-klagomål.docx", "A 14788-2023")</f>
        <v/>
      </c>
      <c r="W506">
        <f>HYPERLINK("https://klasma.github.io/Logging_1421/klagomålsmail/A 14788-2023 FSC-klagomål mail.docx", "A 14788-2023")</f>
        <v/>
      </c>
      <c r="X506">
        <f>HYPERLINK("https://klasma.github.io/Logging_1421/tillsyn/A 14788-2023 tillsynsbegäran.docx", "A 14788-2023")</f>
        <v/>
      </c>
      <c r="Y506">
        <f>HYPERLINK("https://klasma.github.io/Logging_1421/tillsynsmail/A 14788-2023 tillsynsbegäran mail.docx", "A 14788-2023")</f>
        <v/>
      </c>
    </row>
    <row r="507" ht="15" customHeight="1">
      <c r="A507" t="inlineStr">
        <is>
          <t>A 15108-2023</t>
        </is>
      </c>
      <c r="B507" s="1" t="n">
        <v>45016</v>
      </c>
      <c r="C507" s="1" t="n">
        <v>45227</v>
      </c>
      <c r="D507" t="inlineStr">
        <is>
          <t>VÄSTRA GÖTALANDS LÄN</t>
        </is>
      </c>
      <c r="E507" t="inlineStr">
        <is>
          <t>LYSEKIL</t>
        </is>
      </c>
      <c r="G507" t="n">
        <v>1.7</v>
      </c>
      <c r="H507" t="n">
        <v>0</v>
      </c>
      <c r="I507" t="n">
        <v>0</v>
      </c>
      <c r="J507" t="n">
        <v>0</v>
      </c>
      <c r="K507" t="n">
        <v>0</v>
      </c>
      <c r="L507" t="n">
        <v>0</v>
      </c>
      <c r="M507" t="n">
        <v>1</v>
      </c>
      <c r="N507" t="n">
        <v>0</v>
      </c>
      <c r="O507" t="n">
        <v>1</v>
      </c>
      <c r="P507" t="n">
        <v>1</v>
      </c>
      <c r="Q507" t="n">
        <v>1</v>
      </c>
      <c r="R507" s="2" t="inlineStr">
        <is>
          <t>Skogsalm</t>
        </is>
      </c>
      <c r="S507">
        <f>HYPERLINK("https://klasma.github.io/Logging_1484/artfynd/A 15108-2023 artfynd.xlsx", "A 15108-2023")</f>
        <v/>
      </c>
      <c r="T507">
        <f>HYPERLINK("https://klasma.github.io/Logging_1484/kartor/A 15108-2023 karta.png", "A 15108-2023")</f>
        <v/>
      </c>
      <c r="V507">
        <f>HYPERLINK("https://klasma.github.io/Logging_1484/klagomål/A 15108-2023 FSC-klagomål.docx", "A 15108-2023")</f>
        <v/>
      </c>
      <c r="W507">
        <f>HYPERLINK("https://klasma.github.io/Logging_1484/klagomålsmail/A 15108-2023 FSC-klagomål mail.docx", "A 15108-2023")</f>
        <v/>
      </c>
      <c r="X507">
        <f>HYPERLINK("https://klasma.github.io/Logging_1484/tillsyn/A 15108-2023 tillsynsbegäran.docx", "A 15108-2023")</f>
        <v/>
      </c>
      <c r="Y507">
        <f>HYPERLINK("https://klasma.github.io/Logging_1484/tillsynsmail/A 15108-2023 tillsynsbegäran mail.docx", "A 15108-2023")</f>
        <v/>
      </c>
    </row>
    <row r="508" ht="15" customHeight="1">
      <c r="A508" t="inlineStr">
        <is>
          <t>A 17023-2023</t>
        </is>
      </c>
      <c r="B508" s="1" t="n">
        <v>45030</v>
      </c>
      <c r="C508" s="1" t="n">
        <v>45227</v>
      </c>
      <c r="D508" t="inlineStr">
        <is>
          <t>VÄSTRA GÖTALANDS LÄN</t>
        </is>
      </c>
      <c r="E508" t="inlineStr">
        <is>
          <t>MARK</t>
        </is>
      </c>
      <c r="G508" t="n">
        <v>2.9</v>
      </c>
      <c r="H508" t="n">
        <v>0</v>
      </c>
      <c r="I508" t="n">
        <v>0</v>
      </c>
      <c r="J508" t="n">
        <v>1</v>
      </c>
      <c r="K508" t="n">
        <v>0</v>
      </c>
      <c r="L508" t="n">
        <v>0</v>
      </c>
      <c r="M508" t="n">
        <v>0</v>
      </c>
      <c r="N508" t="n">
        <v>0</v>
      </c>
      <c r="O508" t="n">
        <v>1</v>
      </c>
      <c r="P508" t="n">
        <v>0</v>
      </c>
      <c r="Q508" t="n">
        <v>1</v>
      </c>
      <c r="R508" s="2" t="inlineStr">
        <is>
          <t>Guldsandbi</t>
        </is>
      </c>
      <c r="S508">
        <f>HYPERLINK("https://klasma.github.io/Logging_1463/artfynd/A 17023-2023 artfynd.xlsx", "A 17023-2023")</f>
        <v/>
      </c>
      <c r="T508">
        <f>HYPERLINK("https://klasma.github.io/Logging_1463/kartor/A 17023-2023 karta.png", "A 17023-2023")</f>
        <v/>
      </c>
      <c r="V508">
        <f>HYPERLINK("https://klasma.github.io/Logging_1463/klagomål/A 17023-2023 FSC-klagomål.docx", "A 17023-2023")</f>
        <v/>
      </c>
      <c r="W508">
        <f>HYPERLINK("https://klasma.github.io/Logging_1463/klagomålsmail/A 17023-2023 FSC-klagomål mail.docx", "A 17023-2023")</f>
        <v/>
      </c>
      <c r="X508">
        <f>HYPERLINK("https://klasma.github.io/Logging_1463/tillsyn/A 17023-2023 tillsynsbegäran.docx", "A 17023-2023")</f>
        <v/>
      </c>
      <c r="Y508">
        <f>HYPERLINK("https://klasma.github.io/Logging_1463/tillsynsmail/A 17023-2023 tillsynsbegäran mail.docx", "A 17023-2023")</f>
        <v/>
      </c>
    </row>
    <row r="509" ht="15" customHeight="1">
      <c r="A509" t="inlineStr">
        <is>
          <t>A 16904-2023</t>
        </is>
      </c>
      <c r="B509" s="1" t="n">
        <v>45033</v>
      </c>
      <c r="C509" s="1" t="n">
        <v>45227</v>
      </c>
      <c r="D509" t="inlineStr">
        <is>
          <t>VÄSTRA GÖTALANDS LÄN</t>
        </is>
      </c>
      <c r="E509" t="inlineStr">
        <is>
          <t>UDDEVALLA</t>
        </is>
      </c>
      <c r="G509" t="n">
        <v>1.3</v>
      </c>
      <c r="H509" t="n">
        <v>0</v>
      </c>
      <c r="I509" t="n">
        <v>1</v>
      </c>
      <c r="J509" t="n">
        <v>0</v>
      </c>
      <c r="K509" t="n">
        <v>0</v>
      </c>
      <c r="L509" t="n">
        <v>0</v>
      </c>
      <c r="M509" t="n">
        <v>0</v>
      </c>
      <c r="N509" t="n">
        <v>0</v>
      </c>
      <c r="O509" t="n">
        <v>0</v>
      </c>
      <c r="P509" t="n">
        <v>0</v>
      </c>
      <c r="Q509" t="n">
        <v>1</v>
      </c>
      <c r="R509" s="2" t="inlineStr">
        <is>
          <t>Mörk husmossa</t>
        </is>
      </c>
      <c r="S509">
        <f>HYPERLINK("https://klasma.github.io/Logging_1485/artfynd/A 16904-2023 artfynd.xlsx", "A 16904-2023")</f>
        <v/>
      </c>
      <c r="T509">
        <f>HYPERLINK("https://klasma.github.io/Logging_1485/kartor/A 16904-2023 karta.png", "A 16904-2023")</f>
        <v/>
      </c>
      <c r="V509">
        <f>HYPERLINK("https://klasma.github.io/Logging_1485/klagomål/A 16904-2023 FSC-klagomål.docx", "A 16904-2023")</f>
        <v/>
      </c>
      <c r="W509">
        <f>HYPERLINK("https://klasma.github.io/Logging_1485/klagomålsmail/A 16904-2023 FSC-klagomål mail.docx", "A 16904-2023")</f>
        <v/>
      </c>
      <c r="X509">
        <f>HYPERLINK("https://klasma.github.io/Logging_1485/tillsyn/A 16904-2023 tillsynsbegäran.docx", "A 16904-2023")</f>
        <v/>
      </c>
      <c r="Y509">
        <f>HYPERLINK("https://klasma.github.io/Logging_1485/tillsynsmail/A 16904-2023 tillsynsbegäran mail.docx", "A 16904-2023")</f>
        <v/>
      </c>
    </row>
    <row r="510" ht="15" customHeight="1">
      <c r="A510" t="inlineStr">
        <is>
          <t>A 16802-2023</t>
        </is>
      </c>
      <c r="B510" s="1" t="n">
        <v>45033</v>
      </c>
      <c r="C510" s="1" t="n">
        <v>45227</v>
      </c>
      <c r="D510" t="inlineStr">
        <is>
          <t>VÄSTRA GÖTALANDS LÄN</t>
        </is>
      </c>
      <c r="E510" t="inlineStr">
        <is>
          <t>HÄRRYDA</t>
        </is>
      </c>
      <c r="G510" t="n">
        <v>6.5</v>
      </c>
      <c r="H510" t="n">
        <v>1</v>
      </c>
      <c r="I510" t="n">
        <v>0</v>
      </c>
      <c r="J510" t="n">
        <v>1</v>
      </c>
      <c r="K510" t="n">
        <v>0</v>
      </c>
      <c r="L510" t="n">
        <v>0</v>
      </c>
      <c r="M510" t="n">
        <v>0</v>
      </c>
      <c r="N510" t="n">
        <v>0</v>
      </c>
      <c r="O510" t="n">
        <v>1</v>
      </c>
      <c r="P510" t="n">
        <v>0</v>
      </c>
      <c r="Q510" t="n">
        <v>1</v>
      </c>
      <c r="R510" s="2" t="inlineStr">
        <is>
          <t>Talltita</t>
        </is>
      </c>
      <c r="S510">
        <f>HYPERLINK("https://klasma.github.io/Logging_1401/artfynd/A 16802-2023 artfynd.xlsx", "A 16802-2023")</f>
        <v/>
      </c>
      <c r="T510">
        <f>HYPERLINK("https://klasma.github.io/Logging_1401/kartor/A 16802-2023 karta.png", "A 16802-2023")</f>
        <v/>
      </c>
      <c r="V510">
        <f>HYPERLINK("https://klasma.github.io/Logging_1401/klagomål/A 16802-2023 FSC-klagomål.docx", "A 16802-2023")</f>
        <v/>
      </c>
      <c r="W510">
        <f>HYPERLINK("https://klasma.github.io/Logging_1401/klagomålsmail/A 16802-2023 FSC-klagomål mail.docx", "A 16802-2023")</f>
        <v/>
      </c>
      <c r="X510">
        <f>HYPERLINK("https://klasma.github.io/Logging_1401/tillsyn/A 16802-2023 tillsynsbegäran.docx", "A 16802-2023")</f>
        <v/>
      </c>
      <c r="Y510">
        <f>HYPERLINK("https://klasma.github.io/Logging_1401/tillsynsmail/A 16802-2023 tillsynsbegäran mail.docx", "A 16802-2023")</f>
        <v/>
      </c>
    </row>
    <row r="511" ht="15" customHeight="1">
      <c r="A511" t="inlineStr">
        <is>
          <t>A 17920-2023</t>
        </is>
      </c>
      <c r="B511" s="1" t="n">
        <v>45040</v>
      </c>
      <c r="C511" s="1" t="n">
        <v>45227</v>
      </c>
      <c r="D511" t="inlineStr">
        <is>
          <t>VÄSTRA GÖTALANDS LÄN</t>
        </is>
      </c>
      <c r="E511" t="inlineStr">
        <is>
          <t>VÄNERSBORG</t>
        </is>
      </c>
      <c r="G511" t="n">
        <v>1.2</v>
      </c>
      <c r="H511" t="n">
        <v>1</v>
      </c>
      <c r="I511" t="n">
        <v>0</v>
      </c>
      <c r="J511" t="n">
        <v>0</v>
      </c>
      <c r="K511" t="n">
        <v>0</v>
      </c>
      <c r="L511" t="n">
        <v>0</v>
      </c>
      <c r="M511" t="n">
        <v>0</v>
      </c>
      <c r="N511" t="n">
        <v>0</v>
      </c>
      <c r="O511" t="n">
        <v>0</v>
      </c>
      <c r="P511" t="n">
        <v>0</v>
      </c>
      <c r="Q511" t="n">
        <v>1</v>
      </c>
      <c r="R511" s="2" t="inlineStr">
        <is>
          <t>Vanlig padda</t>
        </is>
      </c>
      <c r="S511">
        <f>HYPERLINK("https://klasma.github.io/Logging_1487/artfynd/A 17920-2023 artfynd.xlsx", "A 17920-2023")</f>
        <v/>
      </c>
      <c r="T511">
        <f>HYPERLINK("https://klasma.github.io/Logging_1487/kartor/A 17920-2023 karta.png", "A 17920-2023")</f>
        <v/>
      </c>
      <c r="V511">
        <f>HYPERLINK("https://klasma.github.io/Logging_1487/klagomål/A 17920-2023 FSC-klagomål.docx", "A 17920-2023")</f>
        <v/>
      </c>
      <c r="W511">
        <f>HYPERLINK("https://klasma.github.io/Logging_1487/klagomålsmail/A 17920-2023 FSC-klagomål mail.docx", "A 17920-2023")</f>
        <v/>
      </c>
      <c r="X511">
        <f>HYPERLINK("https://klasma.github.io/Logging_1487/tillsyn/A 17920-2023 tillsynsbegäran.docx", "A 17920-2023")</f>
        <v/>
      </c>
      <c r="Y511">
        <f>HYPERLINK("https://klasma.github.io/Logging_1487/tillsynsmail/A 17920-2023 tillsynsbegäran mail.docx", "A 17920-2023")</f>
        <v/>
      </c>
    </row>
    <row r="512" ht="15" customHeight="1">
      <c r="A512" t="inlineStr">
        <is>
          <t>A 20086-2023</t>
        </is>
      </c>
      <c r="B512" s="1" t="n">
        <v>45054</v>
      </c>
      <c r="C512" s="1" t="n">
        <v>45227</v>
      </c>
      <c r="D512" t="inlineStr">
        <is>
          <t>VÄSTRA GÖTALANDS LÄN</t>
        </is>
      </c>
      <c r="E512" t="inlineStr">
        <is>
          <t>ORUST</t>
        </is>
      </c>
      <c r="G512" t="n">
        <v>1.9</v>
      </c>
      <c r="H512" t="n">
        <v>1</v>
      </c>
      <c r="I512" t="n">
        <v>0</v>
      </c>
      <c r="J512" t="n">
        <v>0</v>
      </c>
      <c r="K512" t="n">
        <v>1</v>
      </c>
      <c r="L512" t="n">
        <v>0</v>
      </c>
      <c r="M512" t="n">
        <v>0</v>
      </c>
      <c r="N512" t="n">
        <v>0</v>
      </c>
      <c r="O512" t="n">
        <v>1</v>
      </c>
      <c r="P512" t="n">
        <v>1</v>
      </c>
      <c r="Q512" t="n">
        <v>1</v>
      </c>
      <c r="R512" s="2" t="inlineStr">
        <is>
          <t>Knärot</t>
        </is>
      </c>
      <c r="S512">
        <f>HYPERLINK("https://klasma.github.io/Logging_1421/artfynd/A 20086-2023 artfynd.xlsx", "A 20086-2023")</f>
        <v/>
      </c>
      <c r="T512">
        <f>HYPERLINK("https://klasma.github.io/Logging_1421/kartor/A 20086-2023 karta.png", "A 20086-2023")</f>
        <v/>
      </c>
      <c r="U512">
        <f>HYPERLINK("https://klasma.github.io/Logging_1421/knärot/A 20086-2023 karta knärot.png", "A 20086-2023")</f>
        <v/>
      </c>
      <c r="V512">
        <f>HYPERLINK("https://klasma.github.io/Logging_1421/klagomål/A 20086-2023 FSC-klagomål.docx", "A 20086-2023")</f>
        <v/>
      </c>
      <c r="W512">
        <f>HYPERLINK("https://klasma.github.io/Logging_1421/klagomålsmail/A 20086-2023 FSC-klagomål mail.docx", "A 20086-2023")</f>
        <v/>
      </c>
      <c r="X512">
        <f>HYPERLINK("https://klasma.github.io/Logging_1421/tillsyn/A 20086-2023 tillsynsbegäran.docx", "A 20086-2023")</f>
        <v/>
      </c>
      <c r="Y512">
        <f>HYPERLINK("https://klasma.github.io/Logging_1421/tillsynsmail/A 20086-2023 tillsynsbegäran mail.docx", "A 20086-2023")</f>
        <v/>
      </c>
    </row>
    <row r="513" ht="15" customHeight="1">
      <c r="A513" t="inlineStr">
        <is>
          <t>A 20209-2023</t>
        </is>
      </c>
      <c r="B513" s="1" t="n">
        <v>45055</v>
      </c>
      <c r="C513" s="1" t="n">
        <v>45227</v>
      </c>
      <c r="D513" t="inlineStr">
        <is>
          <t>VÄSTRA GÖTALANDS LÄN</t>
        </is>
      </c>
      <c r="E513" t="inlineStr">
        <is>
          <t>MELLERUD</t>
        </is>
      </c>
      <c r="G513" t="n">
        <v>1.6</v>
      </c>
      <c r="H513" t="n">
        <v>0</v>
      </c>
      <c r="I513" t="n">
        <v>0</v>
      </c>
      <c r="J513" t="n">
        <v>1</v>
      </c>
      <c r="K513" t="n">
        <v>0</v>
      </c>
      <c r="L513" t="n">
        <v>0</v>
      </c>
      <c r="M513" t="n">
        <v>0</v>
      </c>
      <c r="N513" t="n">
        <v>0</v>
      </c>
      <c r="O513" t="n">
        <v>1</v>
      </c>
      <c r="P513" t="n">
        <v>0</v>
      </c>
      <c r="Q513" t="n">
        <v>1</v>
      </c>
      <c r="R513" s="2" t="inlineStr">
        <is>
          <t>Lunglav</t>
        </is>
      </c>
      <c r="S513">
        <f>HYPERLINK("https://klasma.github.io/Logging_1461/artfynd/A 20209-2023 artfynd.xlsx", "A 20209-2023")</f>
        <v/>
      </c>
      <c r="T513">
        <f>HYPERLINK("https://klasma.github.io/Logging_1461/kartor/A 20209-2023 karta.png", "A 20209-2023")</f>
        <v/>
      </c>
      <c r="V513">
        <f>HYPERLINK("https://klasma.github.io/Logging_1461/klagomål/A 20209-2023 FSC-klagomål.docx", "A 20209-2023")</f>
        <v/>
      </c>
      <c r="W513">
        <f>HYPERLINK("https://klasma.github.io/Logging_1461/klagomålsmail/A 20209-2023 FSC-klagomål mail.docx", "A 20209-2023")</f>
        <v/>
      </c>
      <c r="X513">
        <f>HYPERLINK("https://klasma.github.io/Logging_1461/tillsyn/A 20209-2023 tillsynsbegäran.docx", "A 20209-2023")</f>
        <v/>
      </c>
      <c r="Y513">
        <f>HYPERLINK("https://klasma.github.io/Logging_1461/tillsynsmail/A 20209-2023 tillsynsbegäran mail.docx", "A 20209-2023")</f>
        <v/>
      </c>
    </row>
    <row r="514" ht="15" customHeight="1">
      <c r="A514" t="inlineStr">
        <is>
          <t>A 20709-2023</t>
        </is>
      </c>
      <c r="B514" s="1" t="n">
        <v>45058</v>
      </c>
      <c r="C514" s="1" t="n">
        <v>45227</v>
      </c>
      <c r="D514" t="inlineStr">
        <is>
          <t>VÄSTRA GÖTALANDS LÄN</t>
        </is>
      </c>
      <c r="E514" t="inlineStr">
        <is>
          <t>ORUST</t>
        </is>
      </c>
      <c r="G514" t="n">
        <v>4.3</v>
      </c>
      <c r="H514" t="n">
        <v>1</v>
      </c>
      <c r="I514" t="n">
        <v>0</v>
      </c>
      <c r="J514" t="n">
        <v>0</v>
      </c>
      <c r="K514" t="n">
        <v>1</v>
      </c>
      <c r="L514" t="n">
        <v>0</v>
      </c>
      <c r="M514" t="n">
        <v>0</v>
      </c>
      <c r="N514" t="n">
        <v>0</v>
      </c>
      <c r="O514" t="n">
        <v>1</v>
      </c>
      <c r="P514" t="n">
        <v>1</v>
      </c>
      <c r="Q514" t="n">
        <v>1</v>
      </c>
      <c r="R514" s="2" t="inlineStr">
        <is>
          <t>Knärot</t>
        </is>
      </c>
      <c r="S514">
        <f>HYPERLINK("https://klasma.github.io/Logging_1421/artfynd/A 20709-2023 artfynd.xlsx", "A 20709-2023")</f>
        <v/>
      </c>
      <c r="T514">
        <f>HYPERLINK("https://klasma.github.io/Logging_1421/kartor/A 20709-2023 karta.png", "A 20709-2023")</f>
        <v/>
      </c>
      <c r="U514">
        <f>HYPERLINK("https://klasma.github.io/Logging_1421/knärot/A 20709-2023 karta knärot.png", "A 20709-2023")</f>
        <v/>
      </c>
      <c r="V514">
        <f>HYPERLINK("https://klasma.github.io/Logging_1421/klagomål/A 20709-2023 FSC-klagomål.docx", "A 20709-2023")</f>
        <v/>
      </c>
      <c r="W514">
        <f>HYPERLINK("https://klasma.github.io/Logging_1421/klagomålsmail/A 20709-2023 FSC-klagomål mail.docx", "A 20709-2023")</f>
        <v/>
      </c>
      <c r="X514">
        <f>HYPERLINK("https://klasma.github.io/Logging_1421/tillsyn/A 20709-2023 tillsynsbegäran.docx", "A 20709-2023")</f>
        <v/>
      </c>
      <c r="Y514">
        <f>HYPERLINK("https://klasma.github.io/Logging_1421/tillsynsmail/A 20709-2023 tillsynsbegäran mail.docx", "A 20709-2023")</f>
        <v/>
      </c>
    </row>
    <row r="515" ht="15" customHeight="1">
      <c r="A515" t="inlineStr">
        <is>
          <t>A 20753-2023</t>
        </is>
      </c>
      <c r="B515" s="1" t="n">
        <v>45058</v>
      </c>
      <c r="C515" s="1" t="n">
        <v>45227</v>
      </c>
      <c r="D515" t="inlineStr">
        <is>
          <t>VÄSTRA GÖTALANDS LÄN</t>
        </is>
      </c>
      <c r="E515" t="inlineStr">
        <is>
          <t>SKÖVDE</t>
        </is>
      </c>
      <c r="G515" t="n">
        <v>2.9</v>
      </c>
      <c r="H515" t="n">
        <v>1</v>
      </c>
      <c r="I515" t="n">
        <v>1</v>
      </c>
      <c r="J515" t="n">
        <v>0</v>
      </c>
      <c r="K515" t="n">
        <v>0</v>
      </c>
      <c r="L515" t="n">
        <v>0</v>
      </c>
      <c r="M515" t="n">
        <v>0</v>
      </c>
      <c r="N515" t="n">
        <v>0</v>
      </c>
      <c r="O515" t="n">
        <v>0</v>
      </c>
      <c r="P515" t="n">
        <v>0</v>
      </c>
      <c r="Q515" t="n">
        <v>1</v>
      </c>
      <c r="R515" s="2" t="inlineStr">
        <is>
          <t>Tvåblad</t>
        </is>
      </c>
      <c r="S515">
        <f>HYPERLINK("https://klasma.github.io/Logging_1496/artfynd/A 20753-2023 artfynd.xlsx", "A 20753-2023")</f>
        <v/>
      </c>
      <c r="T515">
        <f>HYPERLINK("https://klasma.github.io/Logging_1496/kartor/A 20753-2023 karta.png", "A 20753-2023")</f>
        <v/>
      </c>
      <c r="V515">
        <f>HYPERLINK("https://klasma.github.io/Logging_1496/klagomål/A 20753-2023 FSC-klagomål.docx", "A 20753-2023")</f>
        <v/>
      </c>
      <c r="W515">
        <f>HYPERLINK("https://klasma.github.io/Logging_1496/klagomålsmail/A 20753-2023 FSC-klagomål mail.docx", "A 20753-2023")</f>
        <v/>
      </c>
      <c r="X515">
        <f>HYPERLINK("https://klasma.github.io/Logging_1496/tillsyn/A 20753-2023 tillsynsbegäran.docx", "A 20753-2023")</f>
        <v/>
      </c>
      <c r="Y515">
        <f>HYPERLINK("https://klasma.github.io/Logging_1496/tillsynsmail/A 20753-2023 tillsynsbegäran mail.docx", "A 20753-2023")</f>
        <v/>
      </c>
    </row>
    <row r="516" ht="15" customHeight="1">
      <c r="A516" t="inlineStr">
        <is>
          <t>A 21225-2023</t>
        </is>
      </c>
      <c r="B516" s="1" t="n">
        <v>45058</v>
      </c>
      <c r="C516" s="1" t="n">
        <v>45227</v>
      </c>
      <c r="D516" t="inlineStr">
        <is>
          <t>VÄSTRA GÖTALANDS LÄN</t>
        </is>
      </c>
      <c r="E516" t="inlineStr">
        <is>
          <t>KUNGÄLV</t>
        </is>
      </c>
      <c r="G516" t="n">
        <v>2</v>
      </c>
      <c r="H516" t="n">
        <v>1</v>
      </c>
      <c r="I516" t="n">
        <v>0</v>
      </c>
      <c r="J516" t="n">
        <v>0</v>
      </c>
      <c r="K516" t="n">
        <v>0</v>
      </c>
      <c r="L516" t="n">
        <v>0</v>
      </c>
      <c r="M516" t="n">
        <v>0</v>
      </c>
      <c r="N516" t="n">
        <v>0</v>
      </c>
      <c r="O516" t="n">
        <v>0</v>
      </c>
      <c r="P516" t="n">
        <v>0</v>
      </c>
      <c r="Q516" t="n">
        <v>1</v>
      </c>
      <c r="R516" s="2" t="inlineStr">
        <is>
          <t>Grönvit nattviol</t>
        </is>
      </c>
      <c r="S516">
        <f>HYPERLINK("https://klasma.github.io/Logging_1482/artfynd/A 21225-2023 artfynd.xlsx", "A 21225-2023")</f>
        <v/>
      </c>
      <c r="T516">
        <f>HYPERLINK("https://klasma.github.io/Logging_1482/kartor/A 21225-2023 karta.png", "A 21225-2023")</f>
        <v/>
      </c>
      <c r="V516">
        <f>HYPERLINK("https://klasma.github.io/Logging_1482/klagomål/A 21225-2023 FSC-klagomål.docx", "A 21225-2023")</f>
        <v/>
      </c>
      <c r="W516">
        <f>HYPERLINK("https://klasma.github.io/Logging_1482/klagomålsmail/A 21225-2023 FSC-klagomål mail.docx", "A 21225-2023")</f>
        <v/>
      </c>
      <c r="X516">
        <f>HYPERLINK("https://klasma.github.io/Logging_1482/tillsyn/A 21225-2023 tillsynsbegäran.docx", "A 21225-2023")</f>
        <v/>
      </c>
      <c r="Y516">
        <f>HYPERLINK("https://klasma.github.io/Logging_1482/tillsynsmail/A 21225-2023 tillsynsbegäran mail.docx", "A 21225-2023")</f>
        <v/>
      </c>
    </row>
    <row r="517" ht="15" customHeight="1">
      <c r="A517" t="inlineStr">
        <is>
          <t>A 21101-2023</t>
        </is>
      </c>
      <c r="B517" s="1" t="n">
        <v>45061</v>
      </c>
      <c r="C517" s="1" t="n">
        <v>45227</v>
      </c>
      <c r="D517" t="inlineStr">
        <is>
          <t>VÄSTRA GÖTALANDS LÄN</t>
        </is>
      </c>
      <c r="E517" t="inlineStr">
        <is>
          <t>HÄRRYDA</t>
        </is>
      </c>
      <c r="G517" t="n">
        <v>0.5</v>
      </c>
      <c r="H517" t="n">
        <v>1</v>
      </c>
      <c r="I517" t="n">
        <v>0</v>
      </c>
      <c r="J517" t="n">
        <v>0</v>
      </c>
      <c r="K517" t="n">
        <v>0</v>
      </c>
      <c r="L517" t="n">
        <v>0</v>
      </c>
      <c r="M517" t="n">
        <v>0</v>
      </c>
      <c r="N517" t="n">
        <v>0</v>
      </c>
      <c r="O517" t="n">
        <v>0</v>
      </c>
      <c r="P517" t="n">
        <v>0</v>
      </c>
      <c r="Q517" t="n">
        <v>1</v>
      </c>
      <c r="R517" s="2" t="inlineStr">
        <is>
          <t>Åkergroda</t>
        </is>
      </c>
      <c r="S517">
        <f>HYPERLINK("https://klasma.github.io/Logging_1401/artfynd/A 21101-2023 artfynd.xlsx", "A 21101-2023")</f>
        <v/>
      </c>
      <c r="T517">
        <f>HYPERLINK("https://klasma.github.io/Logging_1401/kartor/A 21101-2023 karta.png", "A 21101-2023")</f>
        <v/>
      </c>
      <c r="V517">
        <f>HYPERLINK("https://klasma.github.io/Logging_1401/klagomål/A 21101-2023 FSC-klagomål.docx", "A 21101-2023")</f>
        <v/>
      </c>
      <c r="W517">
        <f>HYPERLINK("https://klasma.github.io/Logging_1401/klagomålsmail/A 21101-2023 FSC-klagomål mail.docx", "A 21101-2023")</f>
        <v/>
      </c>
      <c r="X517">
        <f>HYPERLINK("https://klasma.github.io/Logging_1401/tillsyn/A 21101-2023 tillsynsbegäran.docx", "A 21101-2023")</f>
        <v/>
      </c>
      <c r="Y517">
        <f>HYPERLINK("https://klasma.github.io/Logging_1401/tillsynsmail/A 21101-2023 tillsynsbegäran mail.docx", "A 21101-2023")</f>
        <v/>
      </c>
    </row>
    <row r="518" ht="15" customHeight="1">
      <c r="A518" t="inlineStr">
        <is>
          <t>A 21300-2023</t>
        </is>
      </c>
      <c r="B518" s="1" t="n">
        <v>45062</v>
      </c>
      <c r="C518" s="1" t="n">
        <v>45227</v>
      </c>
      <c r="D518" t="inlineStr">
        <is>
          <t>VÄSTRA GÖTALANDS LÄN</t>
        </is>
      </c>
      <c r="E518" t="inlineStr">
        <is>
          <t>BENGTSFORS</t>
        </is>
      </c>
      <c r="G518" t="n">
        <v>2.3</v>
      </c>
      <c r="H518" t="n">
        <v>1</v>
      </c>
      <c r="I518" t="n">
        <v>0</v>
      </c>
      <c r="J518" t="n">
        <v>0</v>
      </c>
      <c r="K518" t="n">
        <v>0</v>
      </c>
      <c r="L518" t="n">
        <v>0</v>
      </c>
      <c r="M518" t="n">
        <v>0</v>
      </c>
      <c r="N518" t="n">
        <v>0</v>
      </c>
      <c r="O518" t="n">
        <v>0</v>
      </c>
      <c r="P518" t="n">
        <v>0</v>
      </c>
      <c r="Q518" t="n">
        <v>1</v>
      </c>
      <c r="R518" s="2" t="inlineStr">
        <is>
          <t>Blåsippa</t>
        </is>
      </c>
      <c r="S518">
        <f>HYPERLINK("https://klasma.github.io/Logging_1460/artfynd/A 21300-2023 artfynd.xlsx", "A 21300-2023")</f>
        <v/>
      </c>
      <c r="T518">
        <f>HYPERLINK("https://klasma.github.io/Logging_1460/kartor/A 21300-2023 karta.png", "A 21300-2023")</f>
        <v/>
      </c>
      <c r="V518">
        <f>HYPERLINK("https://klasma.github.io/Logging_1460/klagomål/A 21300-2023 FSC-klagomål.docx", "A 21300-2023")</f>
        <v/>
      </c>
      <c r="W518">
        <f>HYPERLINK("https://klasma.github.io/Logging_1460/klagomålsmail/A 21300-2023 FSC-klagomål mail.docx", "A 21300-2023")</f>
        <v/>
      </c>
      <c r="X518">
        <f>HYPERLINK("https://klasma.github.io/Logging_1460/tillsyn/A 21300-2023 tillsynsbegäran.docx", "A 21300-2023")</f>
        <v/>
      </c>
      <c r="Y518">
        <f>HYPERLINK("https://klasma.github.io/Logging_1460/tillsynsmail/A 21300-2023 tillsynsbegäran mail.docx", "A 21300-2023")</f>
        <v/>
      </c>
    </row>
    <row r="519" ht="15" customHeight="1">
      <c r="A519" t="inlineStr">
        <is>
          <t>A 23401-2023</t>
        </is>
      </c>
      <c r="B519" s="1" t="n">
        <v>45076</v>
      </c>
      <c r="C519" s="1" t="n">
        <v>45227</v>
      </c>
      <c r="D519" t="inlineStr">
        <is>
          <t>VÄSTRA GÖTALANDS LÄN</t>
        </is>
      </c>
      <c r="E519" t="inlineStr">
        <is>
          <t>UDDEVALLA</t>
        </is>
      </c>
      <c r="G519" t="n">
        <v>3.3</v>
      </c>
      <c r="H519" t="n">
        <v>0</v>
      </c>
      <c r="I519" t="n">
        <v>1</v>
      </c>
      <c r="J519" t="n">
        <v>0</v>
      </c>
      <c r="K519" t="n">
        <v>0</v>
      </c>
      <c r="L519" t="n">
        <v>0</v>
      </c>
      <c r="M519" t="n">
        <v>0</v>
      </c>
      <c r="N519" t="n">
        <v>0</v>
      </c>
      <c r="O519" t="n">
        <v>0</v>
      </c>
      <c r="P519" t="n">
        <v>0</v>
      </c>
      <c r="Q519" t="n">
        <v>1</v>
      </c>
      <c r="R519" s="2" t="inlineStr">
        <is>
          <t>Vedticka</t>
        </is>
      </c>
      <c r="S519">
        <f>HYPERLINK("https://klasma.github.io/Logging_1485/artfynd/A 23401-2023 artfynd.xlsx", "A 23401-2023")</f>
        <v/>
      </c>
      <c r="T519">
        <f>HYPERLINK("https://klasma.github.io/Logging_1485/kartor/A 23401-2023 karta.png", "A 23401-2023")</f>
        <v/>
      </c>
      <c r="V519">
        <f>HYPERLINK("https://klasma.github.io/Logging_1485/klagomål/A 23401-2023 FSC-klagomål.docx", "A 23401-2023")</f>
        <v/>
      </c>
      <c r="W519">
        <f>HYPERLINK("https://klasma.github.io/Logging_1485/klagomålsmail/A 23401-2023 FSC-klagomål mail.docx", "A 23401-2023")</f>
        <v/>
      </c>
      <c r="X519">
        <f>HYPERLINK("https://klasma.github.io/Logging_1485/tillsyn/A 23401-2023 tillsynsbegäran.docx", "A 23401-2023")</f>
        <v/>
      </c>
      <c r="Y519">
        <f>HYPERLINK("https://klasma.github.io/Logging_1485/tillsynsmail/A 23401-2023 tillsynsbegäran mail.docx", "A 23401-2023")</f>
        <v/>
      </c>
    </row>
    <row r="520" ht="15" customHeight="1">
      <c r="A520" t="inlineStr">
        <is>
          <t>A 23339-2023</t>
        </is>
      </c>
      <c r="B520" s="1" t="n">
        <v>45076</v>
      </c>
      <c r="C520" s="1" t="n">
        <v>45227</v>
      </c>
      <c r="D520" t="inlineStr">
        <is>
          <t>VÄSTRA GÖTALANDS LÄN</t>
        </is>
      </c>
      <c r="E520" t="inlineStr">
        <is>
          <t>ALE</t>
        </is>
      </c>
      <c r="G520" t="n">
        <v>7.4</v>
      </c>
      <c r="H520" t="n">
        <v>1</v>
      </c>
      <c r="I520" t="n">
        <v>0</v>
      </c>
      <c r="J520" t="n">
        <v>0</v>
      </c>
      <c r="K520" t="n">
        <v>0</v>
      </c>
      <c r="L520" t="n">
        <v>0</v>
      </c>
      <c r="M520" t="n">
        <v>0</v>
      </c>
      <c r="N520" t="n">
        <v>0</v>
      </c>
      <c r="O520" t="n">
        <v>0</v>
      </c>
      <c r="P520" t="n">
        <v>0</v>
      </c>
      <c r="Q520" t="n">
        <v>1</v>
      </c>
      <c r="R520" s="2" t="inlineStr">
        <is>
          <t>Revlummer</t>
        </is>
      </c>
      <c r="S520">
        <f>HYPERLINK("https://klasma.github.io/Logging_1440/artfynd/A 23339-2023 artfynd.xlsx", "A 23339-2023")</f>
        <v/>
      </c>
      <c r="T520">
        <f>HYPERLINK("https://klasma.github.io/Logging_1440/kartor/A 23339-2023 karta.png", "A 23339-2023")</f>
        <v/>
      </c>
      <c r="V520">
        <f>HYPERLINK("https://klasma.github.io/Logging_1440/klagomål/A 23339-2023 FSC-klagomål.docx", "A 23339-2023")</f>
        <v/>
      </c>
      <c r="W520">
        <f>HYPERLINK("https://klasma.github.io/Logging_1440/klagomålsmail/A 23339-2023 FSC-klagomål mail.docx", "A 23339-2023")</f>
        <v/>
      </c>
      <c r="X520">
        <f>HYPERLINK("https://klasma.github.io/Logging_1440/tillsyn/A 23339-2023 tillsynsbegäran.docx", "A 23339-2023")</f>
        <v/>
      </c>
      <c r="Y520">
        <f>HYPERLINK("https://klasma.github.io/Logging_1440/tillsynsmail/A 23339-2023 tillsynsbegäran mail.docx", "A 23339-2023")</f>
        <v/>
      </c>
    </row>
    <row r="521" ht="15" customHeight="1">
      <c r="A521" t="inlineStr">
        <is>
          <t>A 23414-2023</t>
        </is>
      </c>
      <c r="B521" s="1" t="n">
        <v>45076</v>
      </c>
      <c r="C521" s="1" t="n">
        <v>45227</v>
      </c>
      <c r="D521" t="inlineStr">
        <is>
          <t>VÄSTRA GÖTALANDS LÄN</t>
        </is>
      </c>
      <c r="E521" t="inlineStr">
        <is>
          <t>GÖTENE</t>
        </is>
      </c>
      <c r="G521" t="n">
        <v>3.1</v>
      </c>
      <c r="H521" t="n">
        <v>0</v>
      </c>
      <c r="I521" t="n">
        <v>0</v>
      </c>
      <c r="J521" t="n">
        <v>0</v>
      </c>
      <c r="K521" t="n">
        <v>0</v>
      </c>
      <c r="L521" t="n">
        <v>1</v>
      </c>
      <c r="M521" t="n">
        <v>0</v>
      </c>
      <c r="N521" t="n">
        <v>0</v>
      </c>
      <c r="O521" t="n">
        <v>1</v>
      </c>
      <c r="P521" t="n">
        <v>1</v>
      </c>
      <c r="Q521" t="n">
        <v>1</v>
      </c>
      <c r="R521" s="2" t="inlineStr">
        <is>
          <t>Ask</t>
        </is>
      </c>
      <c r="S521">
        <f>HYPERLINK("https://klasma.github.io/Logging_1471/artfynd/A 23414-2023 artfynd.xlsx", "A 23414-2023")</f>
        <v/>
      </c>
      <c r="T521">
        <f>HYPERLINK("https://klasma.github.io/Logging_1471/kartor/A 23414-2023 karta.png", "A 23414-2023")</f>
        <v/>
      </c>
      <c r="V521">
        <f>HYPERLINK("https://klasma.github.io/Logging_1471/klagomål/A 23414-2023 FSC-klagomål.docx", "A 23414-2023")</f>
        <v/>
      </c>
      <c r="W521">
        <f>HYPERLINK("https://klasma.github.io/Logging_1471/klagomålsmail/A 23414-2023 FSC-klagomål mail.docx", "A 23414-2023")</f>
        <v/>
      </c>
      <c r="X521">
        <f>HYPERLINK("https://klasma.github.io/Logging_1471/tillsyn/A 23414-2023 tillsynsbegäran.docx", "A 23414-2023")</f>
        <v/>
      </c>
      <c r="Y521">
        <f>HYPERLINK("https://klasma.github.io/Logging_1471/tillsynsmail/A 23414-2023 tillsynsbegäran mail.docx", "A 23414-2023")</f>
        <v/>
      </c>
    </row>
    <row r="522" ht="15" customHeight="1">
      <c r="A522" t="inlineStr">
        <is>
          <t>A 24211-2023</t>
        </is>
      </c>
      <c r="B522" s="1" t="n">
        <v>45079</v>
      </c>
      <c r="C522" s="1" t="n">
        <v>45227</v>
      </c>
      <c r="D522" t="inlineStr">
        <is>
          <t>VÄSTRA GÖTALANDS LÄN</t>
        </is>
      </c>
      <c r="E522" t="inlineStr">
        <is>
          <t>TANUM</t>
        </is>
      </c>
      <c r="G522" t="n">
        <v>8.300000000000001</v>
      </c>
      <c r="H522" t="n">
        <v>1</v>
      </c>
      <c r="I522" t="n">
        <v>0</v>
      </c>
      <c r="J522" t="n">
        <v>0</v>
      </c>
      <c r="K522" t="n">
        <v>0</v>
      </c>
      <c r="L522" t="n">
        <v>0</v>
      </c>
      <c r="M522" t="n">
        <v>0</v>
      </c>
      <c r="N522" t="n">
        <v>0</v>
      </c>
      <c r="O522" t="n">
        <v>0</v>
      </c>
      <c r="P522" t="n">
        <v>0</v>
      </c>
      <c r="Q522" t="n">
        <v>1</v>
      </c>
      <c r="R522" s="2" t="inlineStr">
        <is>
          <t>Grönvit nattviol</t>
        </is>
      </c>
      <c r="S522">
        <f>HYPERLINK("https://klasma.github.io/Logging_1435/artfynd/A 24211-2023 artfynd.xlsx", "A 24211-2023")</f>
        <v/>
      </c>
      <c r="T522">
        <f>HYPERLINK("https://klasma.github.io/Logging_1435/kartor/A 24211-2023 karta.png", "A 24211-2023")</f>
        <v/>
      </c>
      <c r="V522">
        <f>HYPERLINK("https://klasma.github.io/Logging_1435/klagomål/A 24211-2023 FSC-klagomål.docx", "A 24211-2023")</f>
        <v/>
      </c>
      <c r="W522">
        <f>HYPERLINK("https://klasma.github.io/Logging_1435/klagomålsmail/A 24211-2023 FSC-klagomål mail.docx", "A 24211-2023")</f>
        <v/>
      </c>
      <c r="X522">
        <f>HYPERLINK("https://klasma.github.io/Logging_1435/tillsyn/A 24211-2023 tillsynsbegäran.docx", "A 24211-2023")</f>
        <v/>
      </c>
      <c r="Y522">
        <f>HYPERLINK("https://klasma.github.io/Logging_1435/tillsynsmail/A 24211-2023 tillsynsbegäran mail.docx", "A 24211-2023")</f>
        <v/>
      </c>
    </row>
    <row r="523" ht="15" customHeight="1">
      <c r="A523" t="inlineStr">
        <is>
          <t>A 25655-2023</t>
        </is>
      </c>
      <c r="B523" s="1" t="n">
        <v>45089</v>
      </c>
      <c r="C523" s="1" t="n">
        <v>45227</v>
      </c>
      <c r="D523" t="inlineStr">
        <is>
          <t>VÄSTRA GÖTALANDS LÄN</t>
        </is>
      </c>
      <c r="E523" t="inlineStr">
        <is>
          <t>LILLA EDET</t>
        </is>
      </c>
      <c r="G523" t="n">
        <v>5.1</v>
      </c>
      <c r="H523" t="n">
        <v>0</v>
      </c>
      <c r="I523" t="n">
        <v>0</v>
      </c>
      <c r="J523" t="n">
        <v>1</v>
      </c>
      <c r="K523" t="n">
        <v>0</v>
      </c>
      <c r="L523" t="n">
        <v>0</v>
      </c>
      <c r="M523" t="n">
        <v>0</v>
      </c>
      <c r="N523" t="n">
        <v>0</v>
      </c>
      <c r="O523" t="n">
        <v>1</v>
      </c>
      <c r="P523" t="n">
        <v>0</v>
      </c>
      <c r="Q523" t="n">
        <v>1</v>
      </c>
      <c r="R523" s="2" t="inlineStr">
        <is>
          <t>Bergjohannesört</t>
        </is>
      </c>
      <c r="S523">
        <f>HYPERLINK("https://klasma.github.io/Logging_1462/artfynd/A 25655-2023 artfynd.xlsx", "A 25655-2023")</f>
        <v/>
      </c>
      <c r="T523">
        <f>HYPERLINK("https://klasma.github.io/Logging_1462/kartor/A 25655-2023 karta.png", "A 25655-2023")</f>
        <v/>
      </c>
      <c r="V523">
        <f>HYPERLINK("https://klasma.github.io/Logging_1462/klagomål/A 25655-2023 FSC-klagomål.docx", "A 25655-2023")</f>
        <v/>
      </c>
      <c r="W523">
        <f>HYPERLINK("https://klasma.github.io/Logging_1462/klagomålsmail/A 25655-2023 FSC-klagomål mail.docx", "A 25655-2023")</f>
        <v/>
      </c>
      <c r="X523">
        <f>HYPERLINK("https://klasma.github.io/Logging_1462/tillsyn/A 25655-2023 tillsynsbegäran.docx", "A 25655-2023")</f>
        <v/>
      </c>
      <c r="Y523">
        <f>HYPERLINK("https://klasma.github.io/Logging_1462/tillsynsmail/A 25655-2023 tillsynsbegäran mail.docx", "A 25655-2023")</f>
        <v/>
      </c>
    </row>
    <row r="524" ht="15" customHeight="1">
      <c r="A524" t="inlineStr">
        <is>
          <t>A 26330-2023</t>
        </is>
      </c>
      <c r="B524" s="1" t="n">
        <v>45091</v>
      </c>
      <c r="C524" s="1" t="n">
        <v>45227</v>
      </c>
      <c r="D524" t="inlineStr">
        <is>
          <t>VÄSTRA GÖTALANDS LÄN</t>
        </is>
      </c>
      <c r="E524" t="inlineStr">
        <is>
          <t>HÄRRYDA</t>
        </is>
      </c>
      <c r="G524" t="n">
        <v>1.9</v>
      </c>
      <c r="H524" t="n">
        <v>1</v>
      </c>
      <c r="I524" t="n">
        <v>0</v>
      </c>
      <c r="J524" t="n">
        <v>0</v>
      </c>
      <c r="K524" t="n">
        <v>0</v>
      </c>
      <c r="L524" t="n">
        <v>0</v>
      </c>
      <c r="M524" t="n">
        <v>0</v>
      </c>
      <c r="N524" t="n">
        <v>0</v>
      </c>
      <c r="O524" t="n">
        <v>0</v>
      </c>
      <c r="P524" t="n">
        <v>0</v>
      </c>
      <c r="Q524" t="n">
        <v>1</v>
      </c>
      <c r="R524" s="2" t="inlineStr">
        <is>
          <t>Revlummer</t>
        </is>
      </c>
      <c r="S524">
        <f>HYPERLINK("https://klasma.github.io/Logging_1401/artfynd/A 26330-2023 artfynd.xlsx", "A 26330-2023")</f>
        <v/>
      </c>
      <c r="T524">
        <f>HYPERLINK("https://klasma.github.io/Logging_1401/kartor/A 26330-2023 karta.png", "A 26330-2023")</f>
        <v/>
      </c>
      <c r="V524">
        <f>HYPERLINK("https://klasma.github.io/Logging_1401/klagomål/A 26330-2023 FSC-klagomål.docx", "A 26330-2023")</f>
        <v/>
      </c>
      <c r="W524">
        <f>HYPERLINK("https://klasma.github.io/Logging_1401/klagomålsmail/A 26330-2023 FSC-klagomål mail.docx", "A 26330-2023")</f>
        <v/>
      </c>
      <c r="X524">
        <f>HYPERLINK("https://klasma.github.io/Logging_1401/tillsyn/A 26330-2023 tillsynsbegäran.docx", "A 26330-2023")</f>
        <v/>
      </c>
      <c r="Y524">
        <f>HYPERLINK("https://klasma.github.io/Logging_1401/tillsynsmail/A 26330-2023 tillsynsbegäran mail.docx", "A 26330-2023")</f>
        <v/>
      </c>
    </row>
    <row r="525" ht="15" customHeight="1">
      <c r="A525" t="inlineStr">
        <is>
          <t>A 26384-2023</t>
        </is>
      </c>
      <c r="B525" s="1" t="n">
        <v>45092</v>
      </c>
      <c r="C525" s="1" t="n">
        <v>45227</v>
      </c>
      <c r="D525" t="inlineStr">
        <is>
          <t>VÄSTRA GÖTALANDS LÄN</t>
        </is>
      </c>
      <c r="E525" t="inlineStr">
        <is>
          <t>ALINGSÅS</t>
        </is>
      </c>
      <c r="G525" t="n">
        <v>4.3</v>
      </c>
      <c r="H525" t="n">
        <v>1</v>
      </c>
      <c r="I525" t="n">
        <v>0</v>
      </c>
      <c r="J525" t="n">
        <v>1</v>
      </c>
      <c r="K525" t="n">
        <v>0</v>
      </c>
      <c r="L525" t="n">
        <v>0</v>
      </c>
      <c r="M525" t="n">
        <v>0</v>
      </c>
      <c r="N525" t="n">
        <v>0</v>
      </c>
      <c r="O525" t="n">
        <v>1</v>
      </c>
      <c r="P525" t="n">
        <v>0</v>
      </c>
      <c r="Q525" t="n">
        <v>1</v>
      </c>
      <c r="R525" s="2" t="inlineStr">
        <is>
          <t>Grönsångare</t>
        </is>
      </c>
      <c r="S525">
        <f>HYPERLINK("https://klasma.github.io/Logging_1489/artfynd/A 26384-2023 artfynd.xlsx", "A 26384-2023")</f>
        <v/>
      </c>
      <c r="T525">
        <f>HYPERLINK("https://klasma.github.io/Logging_1489/kartor/A 26384-2023 karta.png", "A 26384-2023")</f>
        <v/>
      </c>
      <c r="V525">
        <f>HYPERLINK("https://klasma.github.io/Logging_1489/klagomål/A 26384-2023 FSC-klagomål.docx", "A 26384-2023")</f>
        <v/>
      </c>
      <c r="W525">
        <f>HYPERLINK("https://klasma.github.io/Logging_1489/klagomålsmail/A 26384-2023 FSC-klagomål mail.docx", "A 26384-2023")</f>
        <v/>
      </c>
      <c r="X525">
        <f>HYPERLINK("https://klasma.github.io/Logging_1489/tillsyn/A 26384-2023 tillsynsbegäran.docx", "A 26384-2023")</f>
        <v/>
      </c>
      <c r="Y525">
        <f>HYPERLINK("https://klasma.github.io/Logging_1489/tillsynsmail/A 26384-2023 tillsynsbegäran mail.docx", "A 26384-2023")</f>
        <v/>
      </c>
    </row>
    <row r="526" ht="15" customHeight="1">
      <c r="A526" t="inlineStr">
        <is>
          <t>A 27182-2023</t>
        </is>
      </c>
      <c r="B526" s="1" t="n">
        <v>45096</v>
      </c>
      <c r="C526" s="1" t="n">
        <v>45227</v>
      </c>
      <c r="D526" t="inlineStr">
        <is>
          <t>VÄSTRA GÖTALANDS LÄN</t>
        </is>
      </c>
      <c r="E526" t="inlineStr">
        <is>
          <t>TRANEMO</t>
        </is>
      </c>
      <c r="F526" t="inlineStr">
        <is>
          <t>Kommuner</t>
        </is>
      </c>
      <c r="G526" t="n">
        <v>5.2</v>
      </c>
      <c r="H526" t="n">
        <v>0</v>
      </c>
      <c r="I526" t="n">
        <v>0</v>
      </c>
      <c r="J526" t="n">
        <v>1</v>
      </c>
      <c r="K526" t="n">
        <v>0</v>
      </c>
      <c r="L526" t="n">
        <v>0</v>
      </c>
      <c r="M526" t="n">
        <v>0</v>
      </c>
      <c r="N526" t="n">
        <v>0</v>
      </c>
      <c r="O526" t="n">
        <v>1</v>
      </c>
      <c r="P526" t="n">
        <v>0</v>
      </c>
      <c r="Q526" t="n">
        <v>1</v>
      </c>
      <c r="R526" s="2" t="inlineStr">
        <is>
          <t>Brunpudrad nållav</t>
        </is>
      </c>
      <c r="S526">
        <f>HYPERLINK("https://klasma.github.io/Logging_1452/artfynd/A 27182-2023 artfynd.xlsx", "A 27182-2023")</f>
        <v/>
      </c>
      <c r="T526">
        <f>HYPERLINK("https://klasma.github.io/Logging_1452/kartor/A 27182-2023 karta.png", "A 27182-2023")</f>
        <v/>
      </c>
      <c r="V526">
        <f>HYPERLINK("https://klasma.github.io/Logging_1452/klagomål/A 27182-2023 FSC-klagomål.docx", "A 27182-2023")</f>
        <v/>
      </c>
      <c r="W526">
        <f>HYPERLINK("https://klasma.github.io/Logging_1452/klagomålsmail/A 27182-2023 FSC-klagomål mail.docx", "A 27182-2023")</f>
        <v/>
      </c>
      <c r="X526">
        <f>HYPERLINK("https://klasma.github.io/Logging_1452/tillsyn/A 27182-2023 tillsynsbegäran.docx", "A 27182-2023")</f>
        <v/>
      </c>
      <c r="Y526">
        <f>HYPERLINK("https://klasma.github.io/Logging_1452/tillsynsmail/A 27182-2023 tillsynsbegäran mail.docx", "A 27182-2023")</f>
        <v/>
      </c>
    </row>
    <row r="527" ht="15" customHeight="1">
      <c r="A527" t="inlineStr">
        <is>
          <t>A 27922-2023</t>
        </is>
      </c>
      <c r="B527" s="1" t="n">
        <v>45098</v>
      </c>
      <c r="C527" s="1" t="n">
        <v>45227</v>
      </c>
      <c r="D527" t="inlineStr">
        <is>
          <t>VÄSTRA GÖTALANDS LÄN</t>
        </is>
      </c>
      <c r="E527" t="inlineStr">
        <is>
          <t>GÖTEBORG</t>
        </is>
      </c>
      <c r="G527" t="n">
        <v>6.8</v>
      </c>
      <c r="H527" t="n">
        <v>0</v>
      </c>
      <c r="I527" t="n">
        <v>0</v>
      </c>
      <c r="J527" t="n">
        <v>0</v>
      </c>
      <c r="K527" t="n">
        <v>1</v>
      </c>
      <c r="L527" t="n">
        <v>0</v>
      </c>
      <c r="M527" t="n">
        <v>0</v>
      </c>
      <c r="N527" t="n">
        <v>0</v>
      </c>
      <c r="O527" t="n">
        <v>1</v>
      </c>
      <c r="P527" t="n">
        <v>1</v>
      </c>
      <c r="Q527" t="n">
        <v>1</v>
      </c>
      <c r="R527" s="2" t="inlineStr">
        <is>
          <t>Gräddticka</t>
        </is>
      </c>
      <c r="S527">
        <f>HYPERLINK("https://klasma.github.io/Logging_1480/artfynd/A 27922-2023 artfynd.xlsx", "A 27922-2023")</f>
        <v/>
      </c>
      <c r="T527">
        <f>HYPERLINK("https://klasma.github.io/Logging_1480/kartor/A 27922-2023 karta.png", "A 27922-2023")</f>
        <v/>
      </c>
      <c r="V527">
        <f>HYPERLINK("https://klasma.github.io/Logging_1480/klagomål/A 27922-2023 FSC-klagomål.docx", "A 27922-2023")</f>
        <v/>
      </c>
      <c r="W527">
        <f>HYPERLINK("https://klasma.github.io/Logging_1480/klagomålsmail/A 27922-2023 FSC-klagomål mail.docx", "A 27922-2023")</f>
        <v/>
      </c>
      <c r="X527">
        <f>HYPERLINK("https://klasma.github.io/Logging_1480/tillsyn/A 27922-2023 tillsynsbegäran.docx", "A 27922-2023")</f>
        <v/>
      </c>
      <c r="Y527">
        <f>HYPERLINK("https://klasma.github.io/Logging_1480/tillsynsmail/A 27922-2023 tillsynsbegäran mail.docx", "A 27922-2023")</f>
        <v/>
      </c>
    </row>
    <row r="528" ht="15" customHeight="1">
      <c r="A528" t="inlineStr">
        <is>
          <t>A 29265-2023</t>
        </is>
      </c>
      <c r="B528" s="1" t="n">
        <v>45105</v>
      </c>
      <c r="C528" s="1" t="n">
        <v>45227</v>
      </c>
      <c r="D528" t="inlineStr">
        <is>
          <t>VÄSTRA GÖTALANDS LÄN</t>
        </is>
      </c>
      <c r="E528" t="inlineStr">
        <is>
          <t>VÄNERSBORG</t>
        </is>
      </c>
      <c r="G528" t="n">
        <v>1.6</v>
      </c>
      <c r="H528" t="n">
        <v>0</v>
      </c>
      <c r="I528" t="n">
        <v>0</v>
      </c>
      <c r="J528" t="n">
        <v>0</v>
      </c>
      <c r="K528" t="n">
        <v>0</v>
      </c>
      <c r="L528" t="n">
        <v>0</v>
      </c>
      <c r="M528" t="n">
        <v>1</v>
      </c>
      <c r="N528" t="n">
        <v>0</v>
      </c>
      <c r="O528" t="n">
        <v>1</v>
      </c>
      <c r="P528" t="n">
        <v>1</v>
      </c>
      <c r="Q528" t="n">
        <v>1</v>
      </c>
      <c r="R528" s="2" t="inlineStr">
        <is>
          <t>Bohuslind</t>
        </is>
      </c>
      <c r="S528">
        <f>HYPERLINK("https://klasma.github.io/Logging_1487/artfynd/A 29265-2023 artfynd.xlsx", "A 29265-2023")</f>
        <v/>
      </c>
      <c r="T528">
        <f>HYPERLINK("https://klasma.github.io/Logging_1487/kartor/A 29265-2023 karta.png", "A 29265-2023")</f>
        <v/>
      </c>
      <c r="V528">
        <f>HYPERLINK("https://klasma.github.io/Logging_1487/klagomål/A 29265-2023 FSC-klagomål.docx", "A 29265-2023")</f>
        <v/>
      </c>
      <c r="W528">
        <f>HYPERLINK("https://klasma.github.io/Logging_1487/klagomålsmail/A 29265-2023 FSC-klagomål mail.docx", "A 29265-2023")</f>
        <v/>
      </c>
      <c r="X528">
        <f>HYPERLINK("https://klasma.github.io/Logging_1487/tillsyn/A 29265-2023 tillsynsbegäran.docx", "A 29265-2023")</f>
        <v/>
      </c>
      <c r="Y528">
        <f>HYPERLINK("https://klasma.github.io/Logging_1487/tillsynsmail/A 29265-2023 tillsynsbegäran mail.docx", "A 29265-2023")</f>
        <v/>
      </c>
    </row>
    <row r="529" ht="15" customHeight="1">
      <c r="A529" t="inlineStr">
        <is>
          <t>A 30777-2023</t>
        </is>
      </c>
      <c r="B529" s="1" t="n">
        <v>45112</v>
      </c>
      <c r="C529" s="1" t="n">
        <v>45227</v>
      </c>
      <c r="D529" t="inlineStr">
        <is>
          <t>VÄSTRA GÖTALANDS LÄN</t>
        </is>
      </c>
      <c r="E529" t="inlineStr">
        <is>
          <t>BOLLEBYGD</t>
        </is>
      </c>
      <c r="G529" t="n">
        <v>6.2</v>
      </c>
      <c r="H529" t="n">
        <v>1</v>
      </c>
      <c r="I529" t="n">
        <v>0</v>
      </c>
      <c r="J529" t="n">
        <v>0</v>
      </c>
      <c r="K529" t="n">
        <v>0</v>
      </c>
      <c r="L529" t="n">
        <v>0</v>
      </c>
      <c r="M529" t="n">
        <v>0</v>
      </c>
      <c r="N529" t="n">
        <v>0</v>
      </c>
      <c r="O529" t="n">
        <v>0</v>
      </c>
      <c r="P529" t="n">
        <v>0</v>
      </c>
      <c r="Q529" t="n">
        <v>1</v>
      </c>
      <c r="R529" s="2" t="inlineStr">
        <is>
          <t>Grönvit nattviol</t>
        </is>
      </c>
      <c r="S529">
        <f>HYPERLINK("https://klasma.github.io/Logging_1443/artfynd/A 30777-2023 artfynd.xlsx", "A 30777-2023")</f>
        <v/>
      </c>
      <c r="T529">
        <f>HYPERLINK("https://klasma.github.io/Logging_1443/kartor/A 30777-2023 karta.png", "A 30777-2023")</f>
        <v/>
      </c>
      <c r="V529">
        <f>HYPERLINK("https://klasma.github.io/Logging_1443/klagomål/A 30777-2023 FSC-klagomål.docx", "A 30777-2023")</f>
        <v/>
      </c>
      <c r="W529">
        <f>HYPERLINK("https://klasma.github.io/Logging_1443/klagomålsmail/A 30777-2023 FSC-klagomål mail.docx", "A 30777-2023")</f>
        <v/>
      </c>
      <c r="X529">
        <f>HYPERLINK("https://klasma.github.io/Logging_1443/tillsyn/A 30777-2023 tillsynsbegäran.docx", "A 30777-2023")</f>
        <v/>
      </c>
      <c r="Y529">
        <f>HYPERLINK("https://klasma.github.io/Logging_1443/tillsynsmail/A 30777-2023 tillsynsbegäran mail.docx", "A 30777-2023")</f>
        <v/>
      </c>
    </row>
    <row r="530" ht="15" customHeight="1">
      <c r="A530" t="inlineStr">
        <is>
          <t>A 30785-2023</t>
        </is>
      </c>
      <c r="B530" s="1" t="n">
        <v>45112</v>
      </c>
      <c r="C530" s="1" t="n">
        <v>45227</v>
      </c>
      <c r="D530" t="inlineStr">
        <is>
          <t>VÄSTRA GÖTALANDS LÄN</t>
        </is>
      </c>
      <c r="E530" t="inlineStr">
        <is>
          <t>BOLLEBYGD</t>
        </is>
      </c>
      <c r="G530" t="n">
        <v>3.4</v>
      </c>
      <c r="H530" t="n">
        <v>1</v>
      </c>
      <c r="I530" t="n">
        <v>0</v>
      </c>
      <c r="J530" t="n">
        <v>0</v>
      </c>
      <c r="K530" t="n">
        <v>0</v>
      </c>
      <c r="L530" t="n">
        <v>0</v>
      </c>
      <c r="M530" t="n">
        <v>0</v>
      </c>
      <c r="N530" t="n">
        <v>0</v>
      </c>
      <c r="O530" t="n">
        <v>0</v>
      </c>
      <c r="P530" t="n">
        <v>0</v>
      </c>
      <c r="Q530" t="n">
        <v>1</v>
      </c>
      <c r="R530" s="2" t="inlineStr">
        <is>
          <t>Revlummer</t>
        </is>
      </c>
      <c r="S530">
        <f>HYPERLINK("https://klasma.github.io/Logging_1443/artfynd/A 30785-2023 artfynd.xlsx", "A 30785-2023")</f>
        <v/>
      </c>
      <c r="T530">
        <f>HYPERLINK("https://klasma.github.io/Logging_1443/kartor/A 30785-2023 karta.png", "A 30785-2023")</f>
        <v/>
      </c>
      <c r="V530">
        <f>HYPERLINK("https://klasma.github.io/Logging_1443/klagomål/A 30785-2023 FSC-klagomål.docx", "A 30785-2023")</f>
        <v/>
      </c>
      <c r="W530">
        <f>HYPERLINK("https://klasma.github.io/Logging_1443/klagomålsmail/A 30785-2023 FSC-klagomål mail.docx", "A 30785-2023")</f>
        <v/>
      </c>
      <c r="X530">
        <f>HYPERLINK("https://klasma.github.io/Logging_1443/tillsyn/A 30785-2023 tillsynsbegäran.docx", "A 30785-2023")</f>
        <v/>
      </c>
      <c r="Y530">
        <f>HYPERLINK("https://klasma.github.io/Logging_1443/tillsynsmail/A 30785-2023 tillsynsbegäran mail.docx", "A 30785-2023")</f>
        <v/>
      </c>
    </row>
    <row r="531" ht="15" customHeight="1">
      <c r="A531" t="inlineStr">
        <is>
          <t>A 30666-2023</t>
        </is>
      </c>
      <c r="B531" s="1" t="n">
        <v>45112</v>
      </c>
      <c r="C531" s="1" t="n">
        <v>45227</v>
      </c>
      <c r="D531" t="inlineStr">
        <is>
          <t>VÄSTRA GÖTALANDS LÄN</t>
        </is>
      </c>
      <c r="E531" t="inlineStr">
        <is>
          <t>BOLLEBYGD</t>
        </is>
      </c>
      <c r="G531" t="n">
        <v>1.1</v>
      </c>
      <c r="H531" t="n">
        <v>1</v>
      </c>
      <c r="I531" t="n">
        <v>0</v>
      </c>
      <c r="J531" t="n">
        <v>1</v>
      </c>
      <c r="K531" t="n">
        <v>0</v>
      </c>
      <c r="L531" t="n">
        <v>0</v>
      </c>
      <c r="M531" t="n">
        <v>0</v>
      </c>
      <c r="N531" t="n">
        <v>0</v>
      </c>
      <c r="O531" t="n">
        <v>1</v>
      </c>
      <c r="P531" t="n">
        <v>0</v>
      </c>
      <c r="Q531" t="n">
        <v>1</v>
      </c>
      <c r="R531" s="2" t="inlineStr">
        <is>
          <t>Talltita</t>
        </is>
      </c>
      <c r="S531">
        <f>HYPERLINK("https://klasma.github.io/Logging_1443/artfynd/A 30666-2023 artfynd.xlsx", "A 30666-2023")</f>
        <v/>
      </c>
      <c r="T531">
        <f>HYPERLINK("https://klasma.github.io/Logging_1443/kartor/A 30666-2023 karta.png", "A 30666-2023")</f>
        <v/>
      </c>
      <c r="V531">
        <f>HYPERLINK("https://klasma.github.io/Logging_1443/klagomål/A 30666-2023 FSC-klagomål.docx", "A 30666-2023")</f>
        <v/>
      </c>
      <c r="W531">
        <f>HYPERLINK("https://klasma.github.io/Logging_1443/klagomålsmail/A 30666-2023 FSC-klagomål mail.docx", "A 30666-2023")</f>
        <v/>
      </c>
      <c r="X531">
        <f>HYPERLINK("https://klasma.github.io/Logging_1443/tillsyn/A 30666-2023 tillsynsbegäran.docx", "A 30666-2023")</f>
        <v/>
      </c>
      <c r="Y531">
        <f>HYPERLINK("https://klasma.github.io/Logging_1443/tillsynsmail/A 30666-2023 tillsynsbegäran mail.docx", "A 30666-2023")</f>
        <v/>
      </c>
    </row>
    <row r="532" ht="15" customHeight="1">
      <c r="A532" t="inlineStr">
        <is>
          <t>A 30671-2023</t>
        </is>
      </c>
      <c r="B532" s="1" t="n">
        <v>45112</v>
      </c>
      <c r="C532" s="1" t="n">
        <v>45227</v>
      </c>
      <c r="D532" t="inlineStr">
        <is>
          <t>VÄSTRA GÖTALANDS LÄN</t>
        </is>
      </c>
      <c r="E532" t="inlineStr">
        <is>
          <t>BOLLEBYGD</t>
        </is>
      </c>
      <c r="G532" t="n">
        <v>4.9</v>
      </c>
      <c r="H532" t="n">
        <v>1</v>
      </c>
      <c r="I532" t="n">
        <v>0</v>
      </c>
      <c r="J532" t="n">
        <v>0</v>
      </c>
      <c r="K532" t="n">
        <v>1</v>
      </c>
      <c r="L532" t="n">
        <v>0</v>
      </c>
      <c r="M532" t="n">
        <v>0</v>
      </c>
      <c r="N532" t="n">
        <v>0</v>
      </c>
      <c r="O532" t="n">
        <v>1</v>
      </c>
      <c r="P532" t="n">
        <v>1</v>
      </c>
      <c r="Q532" t="n">
        <v>1</v>
      </c>
      <c r="R532" s="2" t="inlineStr">
        <is>
          <t>Knärot</t>
        </is>
      </c>
      <c r="S532">
        <f>HYPERLINK("https://klasma.github.io/Logging_1443/artfynd/A 30671-2023 artfynd.xlsx", "A 30671-2023")</f>
        <v/>
      </c>
      <c r="T532">
        <f>HYPERLINK("https://klasma.github.io/Logging_1443/kartor/A 30671-2023 karta.png", "A 30671-2023")</f>
        <v/>
      </c>
      <c r="U532">
        <f>HYPERLINK("https://klasma.github.io/Logging_1443/knärot/A 30671-2023 karta knärot.png", "A 30671-2023")</f>
        <v/>
      </c>
      <c r="V532">
        <f>HYPERLINK("https://klasma.github.io/Logging_1443/klagomål/A 30671-2023 FSC-klagomål.docx", "A 30671-2023")</f>
        <v/>
      </c>
      <c r="W532">
        <f>HYPERLINK("https://klasma.github.io/Logging_1443/klagomålsmail/A 30671-2023 FSC-klagomål mail.docx", "A 30671-2023")</f>
        <v/>
      </c>
      <c r="X532">
        <f>HYPERLINK("https://klasma.github.io/Logging_1443/tillsyn/A 30671-2023 tillsynsbegäran.docx", "A 30671-2023")</f>
        <v/>
      </c>
      <c r="Y532">
        <f>HYPERLINK("https://klasma.github.io/Logging_1443/tillsynsmail/A 30671-2023 tillsynsbegäran mail.docx", "A 30671-2023")</f>
        <v/>
      </c>
    </row>
    <row r="533" ht="15" customHeight="1">
      <c r="A533" t="inlineStr">
        <is>
          <t>A 31742-2023</t>
        </is>
      </c>
      <c r="B533" s="1" t="n">
        <v>45117</v>
      </c>
      <c r="C533" s="1" t="n">
        <v>45227</v>
      </c>
      <c r="D533" t="inlineStr">
        <is>
          <t>VÄSTRA GÖTALANDS LÄN</t>
        </is>
      </c>
      <c r="E533" t="inlineStr">
        <is>
          <t>BOLLEBYGD</t>
        </is>
      </c>
      <c r="G533" t="n">
        <v>2.9</v>
      </c>
      <c r="H533" t="n">
        <v>1</v>
      </c>
      <c r="I533" t="n">
        <v>0</v>
      </c>
      <c r="J533" t="n">
        <v>1</v>
      </c>
      <c r="K533" t="n">
        <v>0</v>
      </c>
      <c r="L533" t="n">
        <v>0</v>
      </c>
      <c r="M533" t="n">
        <v>0</v>
      </c>
      <c r="N533" t="n">
        <v>0</v>
      </c>
      <c r="O533" t="n">
        <v>1</v>
      </c>
      <c r="P533" t="n">
        <v>0</v>
      </c>
      <c r="Q533" t="n">
        <v>1</v>
      </c>
      <c r="R533" s="2" t="inlineStr">
        <is>
          <t>Spillkråka</t>
        </is>
      </c>
      <c r="S533">
        <f>HYPERLINK("https://klasma.github.io/Logging_1443/artfynd/A 31742-2023 artfynd.xlsx", "A 31742-2023")</f>
        <v/>
      </c>
      <c r="T533">
        <f>HYPERLINK("https://klasma.github.io/Logging_1443/kartor/A 31742-2023 karta.png", "A 31742-2023")</f>
        <v/>
      </c>
      <c r="V533">
        <f>HYPERLINK("https://klasma.github.io/Logging_1443/klagomål/A 31742-2023 FSC-klagomål.docx", "A 31742-2023")</f>
        <v/>
      </c>
      <c r="W533">
        <f>HYPERLINK("https://klasma.github.io/Logging_1443/klagomålsmail/A 31742-2023 FSC-klagomål mail.docx", "A 31742-2023")</f>
        <v/>
      </c>
      <c r="X533">
        <f>HYPERLINK("https://klasma.github.io/Logging_1443/tillsyn/A 31742-2023 tillsynsbegäran.docx", "A 31742-2023")</f>
        <v/>
      </c>
      <c r="Y533">
        <f>HYPERLINK("https://klasma.github.io/Logging_1443/tillsynsmail/A 31742-2023 tillsynsbegäran mail.docx", "A 31742-2023")</f>
        <v/>
      </c>
    </row>
    <row r="534" ht="15" customHeight="1">
      <c r="A534" t="inlineStr">
        <is>
          <t>A 32284-2023</t>
        </is>
      </c>
      <c r="B534" s="1" t="n">
        <v>45120</v>
      </c>
      <c r="C534" s="1" t="n">
        <v>45227</v>
      </c>
      <c r="D534" t="inlineStr">
        <is>
          <t>VÄSTRA GÖTALANDS LÄN</t>
        </is>
      </c>
      <c r="E534" t="inlineStr">
        <is>
          <t>DALS-ED</t>
        </is>
      </c>
      <c r="G534" t="n">
        <v>3.9</v>
      </c>
      <c r="H534" t="n">
        <v>0</v>
      </c>
      <c r="I534" t="n">
        <v>0</v>
      </c>
      <c r="J534" t="n">
        <v>1</v>
      </c>
      <c r="K534" t="n">
        <v>0</v>
      </c>
      <c r="L534" t="n">
        <v>0</v>
      </c>
      <c r="M534" t="n">
        <v>0</v>
      </c>
      <c r="N534" t="n">
        <v>0</v>
      </c>
      <c r="O534" t="n">
        <v>1</v>
      </c>
      <c r="P534" t="n">
        <v>0</v>
      </c>
      <c r="Q534" t="n">
        <v>1</v>
      </c>
      <c r="R534" s="2" t="inlineStr">
        <is>
          <t>Mindre bastardsvärmare</t>
        </is>
      </c>
      <c r="S534">
        <f>HYPERLINK("https://klasma.github.io/Logging_1438/artfynd/A 32284-2023 artfynd.xlsx", "A 32284-2023")</f>
        <v/>
      </c>
      <c r="T534">
        <f>HYPERLINK("https://klasma.github.io/Logging_1438/kartor/A 32284-2023 karta.png", "A 32284-2023")</f>
        <v/>
      </c>
      <c r="V534">
        <f>HYPERLINK("https://klasma.github.io/Logging_1438/klagomål/A 32284-2023 FSC-klagomål.docx", "A 32284-2023")</f>
        <v/>
      </c>
      <c r="W534">
        <f>HYPERLINK("https://klasma.github.io/Logging_1438/klagomålsmail/A 32284-2023 FSC-klagomål mail.docx", "A 32284-2023")</f>
        <v/>
      </c>
      <c r="X534">
        <f>HYPERLINK("https://klasma.github.io/Logging_1438/tillsyn/A 32284-2023 tillsynsbegäran.docx", "A 32284-2023")</f>
        <v/>
      </c>
      <c r="Y534">
        <f>HYPERLINK("https://klasma.github.io/Logging_1438/tillsynsmail/A 32284-2023 tillsynsbegäran mail.docx", "A 32284-2023")</f>
        <v/>
      </c>
    </row>
    <row r="535" ht="15" customHeight="1">
      <c r="A535" t="inlineStr">
        <is>
          <t>A 34166-2023</t>
        </is>
      </c>
      <c r="B535" s="1" t="n">
        <v>45137</v>
      </c>
      <c r="C535" s="1" t="n">
        <v>45227</v>
      </c>
      <c r="D535" t="inlineStr">
        <is>
          <t>VÄSTRA GÖTALANDS LÄN</t>
        </is>
      </c>
      <c r="E535" t="inlineStr">
        <is>
          <t>MARK</t>
        </is>
      </c>
      <c r="G535" t="n">
        <v>5.1</v>
      </c>
      <c r="H535" t="n">
        <v>1</v>
      </c>
      <c r="I535" t="n">
        <v>0</v>
      </c>
      <c r="J535" t="n">
        <v>0</v>
      </c>
      <c r="K535" t="n">
        <v>0</v>
      </c>
      <c r="L535" t="n">
        <v>0</v>
      </c>
      <c r="M535" t="n">
        <v>0</v>
      </c>
      <c r="N535" t="n">
        <v>0</v>
      </c>
      <c r="O535" t="n">
        <v>0</v>
      </c>
      <c r="P535" t="n">
        <v>0</v>
      </c>
      <c r="Q535" t="n">
        <v>1</v>
      </c>
      <c r="R535" s="2" t="inlineStr">
        <is>
          <t>Hasselmus</t>
        </is>
      </c>
      <c r="S535">
        <f>HYPERLINK("https://klasma.github.io/Logging_1463/artfynd/A 34166-2023 artfynd.xlsx", "A 34166-2023")</f>
        <v/>
      </c>
      <c r="T535">
        <f>HYPERLINK("https://klasma.github.io/Logging_1463/kartor/A 34166-2023 karta.png", "A 34166-2023")</f>
        <v/>
      </c>
      <c r="V535">
        <f>HYPERLINK("https://klasma.github.io/Logging_1463/klagomål/A 34166-2023 FSC-klagomål.docx", "A 34166-2023")</f>
        <v/>
      </c>
      <c r="W535">
        <f>HYPERLINK("https://klasma.github.io/Logging_1463/klagomålsmail/A 34166-2023 FSC-klagomål mail.docx", "A 34166-2023")</f>
        <v/>
      </c>
      <c r="X535">
        <f>HYPERLINK("https://klasma.github.io/Logging_1463/tillsyn/A 34166-2023 tillsynsbegäran.docx", "A 34166-2023")</f>
        <v/>
      </c>
      <c r="Y535">
        <f>HYPERLINK("https://klasma.github.io/Logging_1463/tillsynsmail/A 34166-2023 tillsynsbegäran mail.docx", "A 34166-2023")</f>
        <v/>
      </c>
    </row>
    <row r="536" ht="15" customHeight="1">
      <c r="A536" t="inlineStr">
        <is>
          <t>A 34450-2023</t>
        </is>
      </c>
      <c r="B536" s="1" t="n">
        <v>45139</v>
      </c>
      <c r="C536" s="1" t="n">
        <v>45227</v>
      </c>
      <c r="D536" t="inlineStr">
        <is>
          <t>VÄSTRA GÖTALANDS LÄN</t>
        </is>
      </c>
      <c r="E536" t="inlineStr">
        <is>
          <t>GÖTENE</t>
        </is>
      </c>
      <c r="G536" t="n">
        <v>7</v>
      </c>
      <c r="H536" t="n">
        <v>0</v>
      </c>
      <c r="I536" t="n">
        <v>0</v>
      </c>
      <c r="J536" t="n">
        <v>1</v>
      </c>
      <c r="K536" t="n">
        <v>0</v>
      </c>
      <c r="L536" t="n">
        <v>0</v>
      </c>
      <c r="M536" t="n">
        <v>0</v>
      </c>
      <c r="N536" t="n">
        <v>0</v>
      </c>
      <c r="O536" t="n">
        <v>1</v>
      </c>
      <c r="P536" t="n">
        <v>0</v>
      </c>
      <c r="Q536" t="n">
        <v>1</v>
      </c>
      <c r="R536" s="2" t="inlineStr">
        <is>
          <t>Klofibbla</t>
        </is>
      </c>
      <c r="S536">
        <f>HYPERLINK("https://klasma.github.io/Logging_1471/artfynd/A 34450-2023 artfynd.xlsx", "A 34450-2023")</f>
        <v/>
      </c>
      <c r="T536">
        <f>HYPERLINK("https://klasma.github.io/Logging_1471/kartor/A 34450-2023 karta.png", "A 34450-2023")</f>
        <v/>
      </c>
      <c r="V536">
        <f>HYPERLINK("https://klasma.github.io/Logging_1471/klagomål/A 34450-2023 FSC-klagomål.docx", "A 34450-2023")</f>
        <v/>
      </c>
      <c r="W536">
        <f>HYPERLINK("https://klasma.github.io/Logging_1471/klagomålsmail/A 34450-2023 FSC-klagomål mail.docx", "A 34450-2023")</f>
        <v/>
      </c>
      <c r="X536">
        <f>HYPERLINK("https://klasma.github.io/Logging_1471/tillsyn/A 34450-2023 tillsynsbegäran.docx", "A 34450-2023")</f>
        <v/>
      </c>
      <c r="Y536">
        <f>HYPERLINK("https://klasma.github.io/Logging_1471/tillsynsmail/A 34450-2023 tillsynsbegäran mail.docx", "A 34450-2023")</f>
        <v/>
      </c>
    </row>
    <row r="537" ht="15" customHeight="1">
      <c r="A537" t="inlineStr">
        <is>
          <t>A 34766-2023</t>
        </is>
      </c>
      <c r="B537" s="1" t="n">
        <v>45140</v>
      </c>
      <c r="C537" s="1" t="n">
        <v>45227</v>
      </c>
      <c r="D537" t="inlineStr">
        <is>
          <t>VÄSTRA GÖTALANDS LÄN</t>
        </is>
      </c>
      <c r="E537" t="inlineStr">
        <is>
          <t>ULRICEHAMN</t>
        </is>
      </c>
      <c r="G537" t="n">
        <v>17.6</v>
      </c>
      <c r="H537" t="n">
        <v>0</v>
      </c>
      <c r="I537" t="n">
        <v>1</v>
      </c>
      <c r="J537" t="n">
        <v>0</v>
      </c>
      <c r="K537" t="n">
        <v>0</v>
      </c>
      <c r="L537" t="n">
        <v>0</v>
      </c>
      <c r="M537" t="n">
        <v>0</v>
      </c>
      <c r="N537" t="n">
        <v>0</v>
      </c>
      <c r="O537" t="n">
        <v>0</v>
      </c>
      <c r="P537" t="n">
        <v>0</v>
      </c>
      <c r="Q537" t="n">
        <v>1</v>
      </c>
      <c r="R537" s="2" t="inlineStr">
        <is>
          <t>Tibast</t>
        </is>
      </c>
      <c r="S537">
        <f>HYPERLINK("https://klasma.github.io/Logging_1491/artfynd/A 34766-2023 artfynd.xlsx", "A 34766-2023")</f>
        <v/>
      </c>
      <c r="T537">
        <f>HYPERLINK("https://klasma.github.io/Logging_1491/kartor/A 34766-2023 karta.png", "A 34766-2023")</f>
        <v/>
      </c>
      <c r="V537">
        <f>HYPERLINK("https://klasma.github.io/Logging_1491/klagomål/A 34766-2023 FSC-klagomål.docx", "A 34766-2023")</f>
        <v/>
      </c>
      <c r="W537">
        <f>HYPERLINK("https://klasma.github.io/Logging_1491/klagomålsmail/A 34766-2023 FSC-klagomål mail.docx", "A 34766-2023")</f>
        <v/>
      </c>
      <c r="X537">
        <f>HYPERLINK("https://klasma.github.io/Logging_1491/tillsyn/A 34766-2023 tillsynsbegäran.docx", "A 34766-2023")</f>
        <v/>
      </c>
      <c r="Y537">
        <f>HYPERLINK("https://klasma.github.io/Logging_1491/tillsynsmail/A 34766-2023 tillsynsbegäran mail.docx", "A 34766-2023")</f>
        <v/>
      </c>
    </row>
    <row r="538" ht="15" customHeight="1">
      <c r="A538" t="inlineStr">
        <is>
          <t>A 38064-2023</t>
        </is>
      </c>
      <c r="B538" s="1" t="n">
        <v>45159</v>
      </c>
      <c r="C538" s="1" t="n">
        <v>45227</v>
      </c>
      <c r="D538" t="inlineStr">
        <is>
          <t>VÄSTRA GÖTALANDS LÄN</t>
        </is>
      </c>
      <c r="E538" t="inlineStr">
        <is>
          <t>ÅMÅL</t>
        </is>
      </c>
      <c r="F538" t="inlineStr">
        <is>
          <t>Bergvik skog väst AB</t>
        </is>
      </c>
      <c r="G538" t="n">
        <v>3.5</v>
      </c>
      <c r="H538" t="n">
        <v>0</v>
      </c>
      <c r="I538" t="n">
        <v>1</v>
      </c>
      <c r="J538" t="n">
        <v>0</v>
      </c>
      <c r="K538" t="n">
        <v>0</v>
      </c>
      <c r="L538" t="n">
        <v>0</v>
      </c>
      <c r="M538" t="n">
        <v>0</v>
      </c>
      <c r="N538" t="n">
        <v>0</v>
      </c>
      <c r="O538" t="n">
        <v>0</v>
      </c>
      <c r="P538" t="n">
        <v>0</v>
      </c>
      <c r="Q538" t="n">
        <v>1</v>
      </c>
      <c r="R538" s="2" t="inlineStr">
        <is>
          <t>Vedticka</t>
        </is>
      </c>
      <c r="S538">
        <f>HYPERLINK("https://klasma.github.io/Logging_1492/artfynd/A 38064-2023 artfynd.xlsx", "A 38064-2023")</f>
        <v/>
      </c>
      <c r="T538">
        <f>HYPERLINK("https://klasma.github.io/Logging_1492/kartor/A 38064-2023 karta.png", "A 38064-2023")</f>
        <v/>
      </c>
      <c r="V538">
        <f>HYPERLINK("https://klasma.github.io/Logging_1492/klagomål/A 38064-2023 FSC-klagomål.docx", "A 38064-2023")</f>
        <v/>
      </c>
      <c r="W538">
        <f>HYPERLINK("https://klasma.github.io/Logging_1492/klagomålsmail/A 38064-2023 FSC-klagomål mail.docx", "A 38064-2023")</f>
        <v/>
      </c>
      <c r="X538">
        <f>HYPERLINK("https://klasma.github.io/Logging_1492/tillsyn/A 38064-2023 tillsynsbegäran.docx", "A 38064-2023")</f>
        <v/>
      </c>
      <c r="Y538">
        <f>HYPERLINK("https://klasma.github.io/Logging_1492/tillsynsmail/A 38064-2023 tillsynsbegäran mail.docx", "A 38064-2023")</f>
        <v/>
      </c>
    </row>
    <row r="539" ht="15" customHeight="1">
      <c r="A539" t="inlineStr">
        <is>
          <t>A 37767-2023</t>
        </is>
      </c>
      <c r="B539" s="1" t="n">
        <v>45159</v>
      </c>
      <c r="C539" s="1" t="n">
        <v>45227</v>
      </c>
      <c r="D539" t="inlineStr">
        <is>
          <t>VÄSTRA GÖTALANDS LÄN</t>
        </is>
      </c>
      <c r="E539" t="inlineStr">
        <is>
          <t>GULLSPÅNG</t>
        </is>
      </c>
      <c r="G539" t="n">
        <v>21.1</v>
      </c>
      <c r="H539" t="n">
        <v>0</v>
      </c>
      <c r="I539" t="n">
        <v>1</v>
      </c>
      <c r="J539" t="n">
        <v>0</v>
      </c>
      <c r="K539" t="n">
        <v>0</v>
      </c>
      <c r="L539" t="n">
        <v>0</v>
      </c>
      <c r="M539" t="n">
        <v>0</v>
      </c>
      <c r="N539" t="n">
        <v>0</v>
      </c>
      <c r="O539" t="n">
        <v>0</v>
      </c>
      <c r="P539" t="n">
        <v>0</v>
      </c>
      <c r="Q539" t="n">
        <v>1</v>
      </c>
      <c r="R539" s="2" t="inlineStr">
        <is>
          <t>Sotlav</t>
        </is>
      </c>
      <c r="S539">
        <f>HYPERLINK("https://klasma.github.io/Logging_1447/artfynd/A 37767-2023 artfynd.xlsx", "A 37767-2023")</f>
        <v/>
      </c>
      <c r="T539">
        <f>HYPERLINK("https://klasma.github.io/Logging_1447/kartor/A 37767-2023 karta.png", "A 37767-2023")</f>
        <v/>
      </c>
      <c r="V539">
        <f>HYPERLINK("https://klasma.github.io/Logging_1447/klagomål/A 37767-2023 FSC-klagomål.docx", "A 37767-2023")</f>
        <v/>
      </c>
      <c r="W539">
        <f>HYPERLINK("https://klasma.github.io/Logging_1447/klagomålsmail/A 37767-2023 FSC-klagomål mail.docx", "A 37767-2023")</f>
        <v/>
      </c>
      <c r="X539">
        <f>HYPERLINK("https://klasma.github.io/Logging_1447/tillsyn/A 37767-2023 tillsynsbegäran.docx", "A 37767-2023")</f>
        <v/>
      </c>
      <c r="Y539">
        <f>HYPERLINK("https://klasma.github.io/Logging_1447/tillsynsmail/A 37767-2023 tillsynsbegäran mail.docx", "A 37767-2023")</f>
        <v/>
      </c>
    </row>
    <row r="540" ht="15" customHeight="1">
      <c r="A540" t="inlineStr">
        <is>
          <t>A 49233-2023</t>
        </is>
      </c>
      <c r="B540" s="1" t="n">
        <v>45210</v>
      </c>
      <c r="C540" s="1" t="n">
        <v>45227</v>
      </c>
      <c r="D540" t="inlineStr">
        <is>
          <t>VÄSTRA GÖTALANDS LÄN</t>
        </is>
      </c>
      <c r="E540" t="inlineStr">
        <is>
          <t>MARIESTAD</t>
        </is>
      </c>
      <c r="G540" t="n">
        <v>6.1</v>
      </c>
      <c r="H540" t="n">
        <v>0</v>
      </c>
      <c r="I540" t="n">
        <v>1</v>
      </c>
      <c r="J540" t="n">
        <v>0</v>
      </c>
      <c r="K540" t="n">
        <v>0</v>
      </c>
      <c r="L540" t="n">
        <v>0</v>
      </c>
      <c r="M540" t="n">
        <v>0</v>
      </c>
      <c r="N540" t="n">
        <v>0</v>
      </c>
      <c r="O540" t="n">
        <v>0</v>
      </c>
      <c r="P540" t="n">
        <v>0</v>
      </c>
      <c r="Q540" t="n">
        <v>1</v>
      </c>
      <c r="R540" s="2" t="inlineStr">
        <is>
          <t>Lönnlav</t>
        </is>
      </c>
      <c r="S540">
        <f>HYPERLINK("https://klasma.github.io/Logging_1493/artfynd/A 49233-2023 artfynd.xlsx", "A 49233-2023")</f>
        <v/>
      </c>
      <c r="T540">
        <f>HYPERLINK("https://klasma.github.io/Logging_1493/kartor/A 49233-2023 karta.png", "A 49233-2023")</f>
        <v/>
      </c>
      <c r="V540">
        <f>HYPERLINK("https://klasma.github.io/Logging_1493/klagomål/A 49233-2023 FSC-klagomål.docx", "A 49233-2023")</f>
        <v/>
      </c>
      <c r="W540">
        <f>HYPERLINK("https://klasma.github.io/Logging_1493/klagomålsmail/A 49233-2023 FSC-klagomål mail.docx", "A 49233-2023")</f>
        <v/>
      </c>
      <c r="X540">
        <f>HYPERLINK("https://klasma.github.io/Logging_1493/tillsyn/A 49233-2023 tillsynsbegäran.docx", "A 49233-2023")</f>
        <v/>
      </c>
      <c r="Y540">
        <f>HYPERLINK("https://klasma.github.io/Logging_1493/tillsynsmail/A 49233-2023 tillsynsbegäran mail.docx", "A 49233-2023")</f>
        <v/>
      </c>
    </row>
    <row r="541" ht="15" customHeight="1">
      <c r="A541" t="inlineStr">
        <is>
          <t>A 33939-2018</t>
        </is>
      </c>
      <c r="B541" s="1" t="n">
        <v>43314</v>
      </c>
      <c r="C541" s="1" t="n">
        <v>45227</v>
      </c>
      <c r="D541" t="inlineStr">
        <is>
          <t>VÄSTRA GÖTALANDS LÄN</t>
        </is>
      </c>
      <c r="E541" t="inlineStr">
        <is>
          <t>BENGTSFORS</t>
        </is>
      </c>
      <c r="G541" t="n">
        <v>3.6</v>
      </c>
      <c r="H541" t="n">
        <v>0</v>
      </c>
      <c r="I541" t="n">
        <v>0</v>
      </c>
      <c r="J541" t="n">
        <v>0</v>
      </c>
      <c r="K541" t="n">
        <v>0</v>
      </c>
      <c r="L541" t="n">
        <v>0</v>
      </c>
      <c r="M541" t="n">
        <v>0</v>
      </c>
      <c r="N541" t="n">
        <v>0</v>
      </c>
      <c r="O541" t="n">
        <v>0</v>
      </c>
      <c r="P541" t="n">
        <v>0</v>
      </c>
      <c r="Q541" t="n">
        <v>0</v>
      </c>
      <c r="R541" s="2" t="inlineStr"/>
    </row>
    <row r="542" ht="15" customHeight="1">
      <c r="A542" t="inlineStr">
        <is>
          <t>A 33888-2018</t>
        </is>
      </c>
      <c r="B542" s="1" t="n">
        <v>43314</v>
      </c>
      <c r="C542" s="1" t="n">
        <v>45227</v>
      </c>
      <c r="D542" t="inlineStr">
        <is>
          <t>VÄSTRA GÖTALANDS LÄN</t>
        </is>
      </c>
      <c r="E542" t="inlineStr">
        <is>
          <t>SVENLJUNGA</t>
        </is>
      </c>
      <c r="G542" t="n">
        <v>2.1</v>
      </c>
      <c r="H542" t="n">
        <v>0</v>
      </c>
      <c r="I542" t="n">
        <v>0</v>
      </c>
      <c r="J542" t="n">
        <v>0</v>
      </c>
      <c r="K542" t="n">
        <v>0</v>
      </c>
      <c r="L542" t="n">
        <v>0</v>
      </c>
      <c r="M542" t="n">
        <v>0</v>
      </c>
      <c r="N542" t="n">
        <v>0</v>
      </c>
      <c r="O542" t="n">
        <v>0</v>
      </c>
      <c r="P542" t="n">
        <v>0</v>
      </c>
      <c r="Q542" t="n">
        <v>0</v>
      </c>
      <c r="R542" s="2" t="inlineStr"/>
    </row>
    <row r="543" ht="15" customHeight="1">
      <c r="A543" t="inlineStr">
        <is>
          <t>A 33992-2018</t>
        </is>
      </c>
      <c r="B543" s="1" t="n">
        <v>43314</v>
      </c>
      <c r="C543" s="1" t="n">
        <v>45227</v>
      </c>
      <c r="D543" t="inlineStr">
        <is>
          <t>VÄSTRA GÖTALANDS LÄN</t>
        </is>
      </c>
      <c r="E543" t="inlineStr">
        <is>
          <t>HJO</t>
        </is>
      </c>
      <c r="G543" t="n">
        <v>5.1</v>
      </c>
      <c r="H543" t="n">
        <v>0</v>
      </c>
      <c r="I543" t="n">
        <v>0</v>
      </c>
      <c r="J543" t="n">
        <v>0</v>
      </c>
      <c r="K543" t="n">
        <v>0</v>
      </c>
      <c r="L543" t="n">
        <v>0</v>
      </c>
      <c r="M543" t="n">
        <v>0</v>
      </c>
      <c r="N543" t="n">
        <v>0</v>
      </c>
      <c r="O543" t="n">
        <v>0</v>
      </c>
      <c r="P543" t="n">
        <v>0</v>
      </c>
      <c r="Q543" t="n">
        <v>0</v>
      </c>
      <c r="R543" s="2" t="inlineStr"/>
    </row>
    <row r="544" ht="15" customHeight="1">
      <c r="A544" t="inlineStr">
        <is>
          <t>A 33897-2018</t>
        </is>
      </c>
      <c r="B544" s="1" t="n">
        <v>43314</v>
      </c>
      <c r="C544" s="1" t="n">
        <v>45227</v>
      </c>
      <c r="D544" t="inlineStr">
        <is>
          <t>VÄSTRA GÖTALANDS LÄN</t>
        </is>
      </c>
      <c r="E544" t="inlineStr">
        <is>
          <t>HERRLJUNGA</t>
        </is>
      </c>
      <c r="G544" t="n">
        <v>18.2</v>
      </c>
      <c r="H544" t="n">
        <v>0</v>
      </c>
      <c r="I544" t="n">
        <v>0</v>
      </c>
      <c r="J544" t="n">
        <v>0</v>
      </c>
      <c r="K544" t="n">
        <v>0</v>
      </c>
      <c r="L544" t="n">
        <v>0</v>
      </c>
      <c r="M544" t="n">
        <v>0</v>
      </c>
      <c r="N544" t="n">
        <v>0</v>
      </c>
      <c r="O544" t="n">
        <v>0</v>
      </c>
      <c r="P544" t="n">
        <v>0</v>
      </c>
      <c r="Q544" t="n">
        <v>0</v>
      </c>
      <c r="R544" s="2" t="inlineStr"/>
    </row>
    <row r="545" ht="15" customHeight="1">
      <c r="A545" t="inlineStr">
        <is>
          <t>A 34019-2018</t>
        </is>
      </c>
      <c r="B545" s="1" t="n">
        <v>43315</v>
      </c>
      <c r="C545" s="1" t="n">
        <v>45227</v>
      </c>
      <c r="D545" t="inlineStr">
        <is>
          <t>VÄSTRA GÖTALANDS LÄN</t>
        </is>
      </c>
      <c r="E545" t="inlineStr">
        <is>
          <t>HÄRRYDA</t>
        </is>
      </c>
      <c r="G545" t="n">
        <v>0.9</v>
      </c>
      <c r="H545" t="n">
        <v>0</v>
      </c>
      <c r="I545" t="n">
        <v>0</v>
      </c>
      <c r="J545" t="n">
        <v>0</v>
      </c>
      <c r="K545" t="n">
        <v>0</v>
      </c>
      <c r="L545" t="n">
        <v>0</v>
      </c>
      <c r="M545" t="n">
        <v>0</v>
      </c>
      <c r="N545" t="n">
        <v>0</v>
      </c>
      <c r="O545" t="n">
        <v>0</v>
      </c>
      <c r="P545" t="n">
        <v>0</v>
      </c>
      <c r="Q545" t="n">
        <v>0</v>
      </c>
      <c r="R545" s="2" t="inlineStr"/>
    </row>
    <row r="546" ht="15" customHeight="1">
      <c r="A546" t="inlineStr">
        <is>
          <t>A 34014-2018</t>
        </is>
      </c>
      <c r="B546" s="1" t="n">
        <v>43315</v>
      </c>
      <c r="C546" s="1" t="n">
        <v>45227</v>
      </c>
      <c r="D546" t="inlineStr">
        <is>
          <t>VÄSTRA GÖTALANDS LÄN</t>
        </is>
      </c>
      <c r="E546" t="inlineStr">
        <is>
          <t>ÅMÅL</t>
        </is>
      </c>
      <c r="G546" t="n">
        <v>0.7</v>
      </c>
      <c r="H546" t="n">
        <v>0</v>
      </c>
      <c r="I546" t="n">
        <v>0</v>
      </c>
      <c r="J546" t="n">
        <v>0</v>
      </c>
      <c r="K546" t="n">
        <v>0</v>
      </c>
      <c r="L546" t="n">
        <v>0</v>
      </c>
      <c r="M546" t="n">
        <v>0</v>
      </c>
      <c r="N546" t="n">
        <v>0</v>
      </c>
      <c r="O546" t="n">
        <v>0</v>
      </c>
      <c r="P546" t="n">
        <v>0</v>
      </c>
      <c r="Q546" t="n">
        <v>0</v>
      </c>
      <c r="R546" s="2" t="inlineStr"/>
    </row>
    <row r="547" ht="15" customHeight="1">
      <c r="A547" t="inlineStr">
        <is>
          <t>A 34456-2018</t>
        </is>
      </c>
      <c r="B547" s="1" t="n">
        <v>43319</v>
      </c>
      <c r="C547" s="1" t="n">
        <v>45227</v>
      </c>
      <c r="D547" t="inlineStr">
        <is>
          <t>VÄSTRA GÖTALANDS LÄN</t>
        </is>
      </c>
      <c r="E547" t="inlineStr">
        <is>
          <t>GULLSPÅNG</t>
        </is>
      </c>
      <c r="G547" t="n">
        <v>0.7</v>
      </c>
      <c r="H547" t="n">
        <v>0</v>
      </c>
      <c r="I547" t="n">
        <v>0</v>
      </c>
      <c r="J547" t="n">
        <v>0</v>
      </c>
      <c r="K547" t="n">
        <v>0</v>
      </c>
      <c r="L547" t="n">
        <v>0</v>
      </c>
      <c r="M547" t="n">
        <v>0</v>
      </c>
      <c r="N547" t="n">
        <v>0</v>
      </c>
      <c r="O547" t="n">
        <v>0</v>
      </c>
      <c r="P547" t="n">
        <v>0</v>
      </c>
      <c r="Q547" t="n">
        <v>0</v>
      </c>
      <c r="R547" s="2" t="inlineStr"/>
    </row>
    <row r="548" ht="15" customHeight="1">
      <c r="A548" t="inlineStr">
        <is>
          <t>A 34460-2018</t>
        </is>
      </c>
      <c r="B548" s="1" t="n">
        <v>43319</v>
      </c>
      <c r="C548" s="1" t="n">
        <v>45227</v>
      </c>
      <c r="D548" t="inlineStr">
        <is>
          <t>VÄSTRA GÖTALANDS LÄN</t>
        </is>
      </c>
      <c r="E548" t="inlineStr">
        <is>
          <t>ÅMÅL</t>
        </is>
      </c>
      <c r="G548" t="n">
        <v>4.3</v>
      </c>
      <c r="H548" t="n">
        <v>0</v>
      </c>
      <c r="I548" t="n">
        <v>0</v>
      </c>
      <c r="J548" t="n">
        <v>0</v>
      </c>
      <c r="K548" t="n">
        <v>0</v>
      </c>
      <c r="L548" t="n">
        <v>0</v>
      </c>
      <c r="M548" t="n">
        <v>0</v>
      </c>
      <c r="N548" t="n">
        <v>0</v>
      </c>
      <c r="O548" t="n">
        <v>0</v>
      </c>
      <c r="P548" t="n">
        <v>0</v>
      </c>
      <c r="Q548" t="n">
        <v>0</v>
      </c>
      <c r="R548" s="2" t="inlineStr"/>
    </row>
    <row r="549" ht="15" customHeight="1">
      <c r="A549" t="inlineStr">
        <is>
          <t>A 34500-2018</t>
        </is>
      </c>
      <c r="B549" s="1" t="n">
        <v>43319</v>
      </c>
      <c r="C549" s="1" t="n">
        <v>45227</v>
      </c>
      <c r="D549" t="inlineStr">
        <is>
          <t>VÄSTRA GÖTALANDS LÄN</t>
        </is>
      </c>
      <c r="E549" t="inlineStr">
        <is>
          <t>DALS-ED</t>
        </is>
      </c>
      <c r="G549" t="n">
        <v>11.5</v>
      </c>
      <c r="H549" t="n">
        <v>0</v>
      </c>
      <c r="I549" t="n">
        <v>0</v>
      </c>
      <c r="J549" t="n">
        <v>0</v>
      </c>
      <c r="K549" t="n">
        <v>0</v>
      </c>
      <c r="L549" t="n">
        <v>0</v>
      </c>
      <c r="M549" t="n">
        <v>0</v>
      </c>
      <c r="N549" t="n">
        <v>0</v>
      </c>
      <c r="O549" t="n">
        <v>0</v>
      </c>
      <c r="P549" t="n">
        <v>0</v>
      </c>
      <c r="Q549" t="n">
        <v>0</v>
      </c>
      <c r="R549" s="2" t="inlineStr"/>
    </row>
    <row r="550" ht="15" customHeight="1">
      <c r="A550" t="inlineStr">
        <is>
          <t>A 34459-2018</t>
        </is>
      </c>
      <c r="B550" s="1" t="n">
        <v>43319</v>
      </c>
      <c r="C550" s="1" t="n">
        <v>45227</v>
      </c>
      <c r="D550" t="inlineStr">
        <is>
          <t>VÄSTRA GÖTALANDS LÄN</t>
        </is>
      </c>
      <c r="E550" t="inlineStr">
        <is>
          <t>ÅMÅL</t>
        </is>
      </c>
      <c r="G550" t="n">
        <v>1.3</v>
      </c>
      <c r="H550" t="n">
        <v>0</v>
      </c>
      <c r="I550" t="n">
        <v>0</v>
      </c>
      <c r="J550" t="n">
        <v>0</v>
      </c>
      <c r="K550" t="n">
        <v>0</v>
      </c>
      <c r="L550" t="n">
        <v>0</v>
      </c>
      <c r="M550" t="n">
        <v>0</v>
      </c>
      <c r="N550" t="n">
        <v>0</v>
      </c>
      <c r="O550" t="n">
        <v>0</v>
      </c>
      <c r="P550" t="n">
        <v>0</v>
      </c>
      <c r="Q550" t="n">
        <v>0</v>
      </c>
      <c r="R550" s="2" t="inlineStr"/>
    </row>
    <row r="551" ht="15" customHeight="1">
      <c r="A551" t="inlineStr">
        <is>
          <t>A 34476-2018</t>
        </is>
      </c>
      <c r="B551" s="1" t="n">
        <v>43319</v>
      </c>
      <c r="C551" s="1" t="n">
        <v>45227</v>
      </c>
      <c r="D551" t="inlineStr">
        <is>
          <t>VÄSTRA GÖTALANDS LÄN</t>
        </is>
      </c>
      <c r="E551" t="inlineStr">
        <is>
          <t>MARK</t>
        </is>
      </c>
      <c r="G551" t="n">
        <v>3.7</v>
      </c>
      <c r="H551" t="n">
        <v>0</v>
      </c>
      <c r="I551" t="n">
        <v>0</v>
      </c>
      <c r="J551" t="n">
        <v>0</v>
      </c>
      <c r="K551" t="n">
        <v>0</v>
      </c>
      <c r="L551" t="n">
        <v>0</v>
      </c>
      <c r="M551" t="n">
        <v>0</v>
      </c>
      <c r="N551" t="n">
        <v>0</v>
      </c>
      <c r="O551" t="n">
        <v>0</v>
      </c>
      <c r="P551" t="n">
        <v>0</v>
      </c>
      <c r="Q551" t="n">
        <v>0</v>
      </c>
      <c r="R551" s="2" t="inlineStr"/>
    </row>
    <row r="552" ht="15" customHeight="1">
      <c r="A552" t="inlineStr">
        <is>
          <t>A 34779-2018</t>
        </is>
      </c>
      <c r="B552" s="1" t="n">
        <v>43321</v>
      </c>
      <c r="C552" s="1" t="n">
        <v>45227</v>
      </c>
      <c r="D552" t="inlineStr">
        <is>
          <t>VÄSTRA GÖTALANDS LÄN</t>
        </is>
      </c>
      <c r="E552" t="inlineStr">
        <is>
          <t>MARK</t>
        </is>
      </c>
      <c r="G552" t="n">
        <v>5</v>
      </c>
      <c r="H552" t="n">
        <v>0</v>
      </c>
      <c r="I552" t="n">
        <v>0</v>
      </c>
      <c r="J552" t="n">
        <v>0</v>
      </c>
      <c r="K552" t="n">
        <v>0</v>
      </c>
      <c r="L552" t="n">
        <v>0</v>
      </c>
      <c r="M552" t="n">
        <v>0</v>
      </c>
      <c r="N552" t="n">
        <v>0</v>
      </c>
      <c r="O552" t="n">
        <v>0</v>
      </c>
      <c r="P552" t="n">
        <v>0</v>
      </c>
      <c r="Q552" t="n">
        <v>0</v>
      </c>
      <c r="R552" s="2" t="inlineStr"/>
    </row>
    <row r="553" ht="15" customHeight="1">
      <c r="A553" t="inlineStr">
        <is>
          <t>A 34945-2018</t>
        </is>
      </c>
      <c r="B553" s="1" t="n">
        <v>43321</v>
      </c>
      <c r="C553" s="1" t="n">
        <v>45227</v>
      </c>
      <c r="D553" t="inlineStr">
        <is>
          <t>VÄSTRA GÖTALANDS LÄN</t>
        </is>
      </c>
      <c r="E553" t="inlineStr">
        <is>
          <t>SKARA</t>
        </is>
      </c>
      <c r="G553" t="n">
        <v>0.8</v>
      </c>
      <c r="H553" t="n">
        <v>0</v>
      </c>
      <c r="I553" t="n">
        <v>0</v>
      </c>
      <c r="J553" t="n">
        <v>0</v>
      </c>
      <c r="K553" t="n">
        <v>0</v>
      </c>
      <c r="L553" t="n">
        <v>0</v>
      </c>
      <c r="M553" t="n">
        <v>0</v>
      </c>
      <c r="N553" t="n">
        <v>0</v>
      </c>
      <c r="O553" t="n">
        <v>0</v>
      </c>
      <c r="P553" t="n">
        <v>0</v>
      </c>
      <c r="Q553" t="n">
        <v>0</v>
      </c>
      <c r="R553" s="2" t="inlineStr"/>
    </row>
    <row r="554" ht="15" customHeight="1">
      <c r="A554" t="inlineStr">
        <is>
          <t>A 34801-2018</t>
        </is>
      </c>
      <c r="B554" s="1" t="n">
        <v>43321</v>
      </c>
      <c r="C554" s="1" t="n">
        <v>45227</v>
      </c>
      <c r="D554" t="inlineStr">
        <is>
          <t>VÄSTRA GÖTALANDS LÄN</t>
        </is>
      </c>
      <c r="E554" t="inlineStr">
        <is>
          <t>TÖREBODA</t>
        </is>
      </c>
      <c r="G554" t="n">
        <v>3</v>
      </c>
      <c r="H554" t="n">
        <v>0</v>
      </c>
      <c r="I554" t="n">
        <v>0</v>
      </c>
      <c r="J554" t="n">
        <v>0</v>
      </c>
      <c r="K554" t="n">
        <v>0</v>
      </c>
      <c r="L554" t="n">
        <v>0</v>
      </c>
      <c r="M554" t="n">
        <v>0</v>
      </c>
      <c r="N554" t="n">
        <v>0</v>
      </c>
      <c r="O554" t="n">
        <v>0</v>
      </c>
      <c r="P554" t="n">
        <v>0</v>
      </c>
      <c r="Q554" t="n">
        <v>0</v>
      </c>
      <c r="R554" s="2" t="inlineStr"/>
    </row>
    <row r="555" ht="15" customHeight="1">
      <c r="A555" t="inlineStr">
        <is>
          <t>A 34883-2018</t>
        </is>
      </c>
      <c r="B555" s="1" t="n">
        <v>43321</v>
      </c>
      <c r="C555" s="1" t="n">
        <v>45227</v>
      </c>
      <c r="D555" t="inlineStr">
        <is>
          <t>VÄSTRA GÖTALANDS LÄN</t>
        </is>
      </c>
      <c r="E555" t="inlineStr">
        <is>
          <t>DALS-ED</t>
        </is>
      </c>
      <c r="G555" t="n">
        <v>2.6</v>
      </c>
      <c r="H555" t="n">
        <v>0</v>
      </c>
      <c r="I555" t="n">
        <v>0</v>
      </c>
      <c r="J555" t="n">
        <v>0</v>
      </c>
      <c r="K555" t="n">
        <v>0</v>
      </c>
      <c r="L555" t="n">
        <v>0</v>
      </c>
      <c r="M555" t="n">
        <v>0</v>
      </c>
      <c r="N555" t="n">
        <v>0</v>
      </c>
      <c r="O555" t="n">
        <v>0</v>
      </c>
      <c r="P555" t="n">
        <v>0</v>
      </c>
      <c r="Q555" t="n">
        <v>0</v>
      </c>
      <c r="R555" s="2" t="inlineStr"/>
    </row>
    <row r="556" ht="15" customHeight="1">
      <c r="A556" t="inlineStr">
        <is>
          <t>A 34887-2018</t>
        </is>
      </c>
      <c r="B556" s="1" t="n">
        <v>43321</v>
      </c>
      <c r="C556" s="1" t="n">
        <v>45227</v>
      </c>
      <c r="D556" t="inlineStr">
        <is>
          <t>VÄSTRA GÖTALANDS LÄN</t>
        </is>
      </c>
      <c r="E556" t="inlineStr">
        <is>
          <t>BENGTSFORS</t>
        </is>
      </c>
      <c r="G556" t="n">
        <v>3.3</v>
      </c>
      <c r="H556" t="n">
        <v>0</v>
      </c>
      <c r="I556" t="n">
        <v>0</v>
      </c>
      <c r="J556" t="n">
        <v>0</v>
      </c>
      <c r="K556" t="n">
        <v>0</v>
      </c>
      <c r="L556" t="n">
        <v>0</v>
      </c>
      <c r="M556" t="n">
        <v>0</v>
      </c>
      <c r="N556" t="n">
        <v>0</v>
      </c>
      <c r="O556" t="n">
        <v>0</v>
      </c>
      <c r="P556" t="n">
        <v>0</v>
      </c>
      <c r="Q556" t="n">
        <v>0</v>
      </c>
      <c r="R556" s="2" t="inlineStr"/>
    </row>
    <row r="557" ht="15" customHeight="1">
      <c r="A557" t="inlineStr">
        <is>
          <t>A 35319-2018</t>
        </is>
      </c>
      <c r="B557" s="1" t="n">
        <v>43325</v>
      </c>
      <c r="C557" s="1" t="n">
        <v>45227</v>
      </c>
      <c r="D557" t="inlineStr">
        <is>
          <t>VÄSTRA GÖTALANDS LÄN</t>
        </is>
      </c>
      <c r="E557" t="inlineStr">
        <is>
          <t>KUNGÄLV</t>
        </is>
      </c>
      <c r="G557" t="n">
        <v>3.2</v>
      </c>
      <c r="H557" t="n">
        <v>0</v>
      </c>
      <c r="I557" t="n">
        <v>0</v>
      </c>
      <c r="J557" t="n">
        <v>0</v>
      </c>
      <c r="K557" t="n">
        <v>0</v>
      </c>
      <c r="L557" t="n">
        <v>0</v>
      </c>
      <c r="M557" t="n">
        <v>0</v>
      </c>
      <c r="N557" t="n">
        <v>0</v>
      </c>
      <c r="O557" t="n">
        <v>0</v>
      </c>
      <c r="P557" t="n">
        <v>0</v>
      </c>
      <c r="Q557" t="n">
        <v>0</v>
      </c>
      <c r="R557" s="2" t="inlineStr"/>
    </row>
    <row r="558" ht="15" customHeight="1">
      <c r="A558" t="inlineStr">
        <is>
          <t>A 35357-2018</t>
        </is>
      </c>
      <c r="B558" s="1" t="n">
        <v>43325</v>
      </c>
      <c r="C558" s="1" t="n">
        <v>45227</v>
      </c>
      <c r="D558" t="inlineStr">
        <is>
          <t>VÄSTRA GÖTALANDS LÄN</t>
        </is>
      </c>
      <c r="E558" t="inlineStr">
        <is>
          <t>FÄRGELANDA</t>
        </is>
      </c>
      <c r="G558" t="n">
        <v>1.3</v>
      </c>
      <c r="H558" t="n">
        <v>0</v>
      </c>
      <c r="I558" t="n">
        <v>0</v>
      </c>
      <c r="J558" t="n">
        <v>0</v>
      </c>
      <c r="K558" t="n">
        <v>0</v>
      </c>
      <c r="L558" t="n">
        <v>0</v>
      </c>
      <c r="M558" t="n">
        <v>0</v>
      </c>
      <c r="N558" t="n">
        <v>0</v>
      </c>
      <c r="O558" t="n">
        <v>0</v>
      </c>
      <c r="P558" t="n">
        <v>0</v>
      </c>
      <c r="Q558" t="n">
        <v>0</v>
      </c>
      <c r="R558" s="2" t="inlineStr"/>
    </row>
    <row r="559" ht="15" customHeight="1">
      <c r="A559" t="inlineStr">
        <is>
          <t>A 35293-2018</t>
        </is>
      </c>
      <c r="B559" s="1" t="n">
        <v>43325</v>
      </c>
      <c r="C559" s="1" t="n">
        <v>45227</v>
      </c>
      <c r="D559" t="inlineStr">
        <is>
          <t>VÄSTRA GÖTALANDS LÄN</t>
        </is>
      </c>
      <c r="E559" t="inlineStr">
        <is>
          <t>VÅRGÅRDA</t>
        </is>
      </c>
      <c r="G559" t="n">
        <v>12.7</v>
      </c>
      <c r="H559" t="n">
        <v>0</v>
      </c>
      <c r="I559" t="n">
        <v>0</v>
      </c>
      <c r="J559" t="n">
        <v>0</v>
      </c>
      <c r="K559" t="n">
        <v>0</v>
      </c>
      <c r="L559" t="n">
        <v>0</v>
      </c>
      <c r="M559" t="n">
        <v>0</v>
      </c>
      <c r="N559" t="n">
        <v>0</v>
      </c>
      <c r="O559" t="n">
        <v>0</v>
      </c>
      <c r="P559" t="n">
        <v>0</v>
      </c>
      <c r="Q559" t="n">
        <v>0</v>
      </c>
      <c r="R559" s="2" t="inlineStr"/>
    </row>
    <row r="560" ht="15" customHeight="1">
      <c r="A560" t="inlineStr">
        <is>
          <t>A 35359-2018</t>
        </is>
      </c>
      <c r="B560" s="1" t="n">
        <v>43325</v>
      </c>
      <c r="C560" s="1" t="n">
        <v>45227</v>
      </c>
      <c r="D560" t="inlineStr">
        <is>
          <t>VÄSTRA GÖTALANDS LÄN</t>
        </is>
      </c>
      <c r="E560" t="inlineStr">
        <is>
          <t>SVENLJUNGA</t>
        </is>
      </c>
      <c r="G560" t="n">
        <v>1.8</v>
      </c>
      <c r="H560" t="n">
        <v>0</v>
      </c>
      <c r="I560" t="n">
        <v>0</v>
      </c>
      <c r="J560" t="n">
        <v>0</v>
      </c>
      <c r="K560" t="n">
        <v>0</v>
      </c>
      <c r="L560" t="n">
        <v>0</v>
      </c>
      <c r="M560" t="n">
        <v>0</v>
      </c>
      <c r="N560" t="n">
        <v>0</v>
      </c>
      <c r="O560" t="n">
        <v>0</v>
      </c>
      <c r="P560" t="n">
        <v>0</v>
      </c>
      <c r="Q560" t="n">
        <v>0</v>
      </c>
      <c r="R560" s="2" t="inlineStr"/>
    </row>
    <row r="561" ht="15" customHeight="1">
      <c r="A561" t="inlineStr">
        <is>
          <t>A 35699-2018</t>
        </is>
      </c>
      <c r="B561" s="1" t="n">
        <v>43325</v>
      </c>
      <c r="C561" s="1" t="n">
        <v>45227</v>
      </c>
      <c r="D561" t="inlineStr">
        <is>
          <t>VÄSTRA GÖTALANDS LÄN</t>
        </is>
      </c>
      <c r="E561" t="inlineStr">
        <is>
          <t>TIDAHOLM</t>
        </is>
      </c>
      <c r="G561" t="n">
        <v>4.1</v>
      </c>
      <c r="H561" t="n">
        <v>0</v>
      </c>
      <c r="I561" t="n">
        <v>0</v>
      </c>
      <c r="J561" t="n">
        <v>0</v>
      </c>
      <c r="K561" t="n">
        <v>0</v>
      </c>
      <c r="L561" t="n">
        <v>0</v>
      </c>
      <c r="M561" t="n">
        <v>0</v>
      </c>
      <c r="N561" t="n">
        <v>0</v>
      </c>
      <c r="O561" t="n">
        <v>0</v>
      </c>
      <c r="P561" t="n">
        <v>0</v>
      </c>
      <c r="Q561" t="n">
        <v>0</v>
      </c>
      <c r="R561" s="2" t="inlineStr"/>
    </row>
    <row r="562" ht="15" customHeight="1">
      <c r="A562" t="inlineStr">
        <is>
          <t>A 35413-2018</t>
        </is>
      </c>
      <c r="B562" s="1" t="n">
        <v>43325</v>
      </c>
      <c r="C562" s="1" t="n">
        <v>45227</v>
      </c>
      <c r="D562" t="inlineStr">
        <is>
          <t>VÄSTRA GÖTALANDS LÄN</t>
        </is>
      </c>
      <c r="E562" t="inlineStr">
        <is>
          <t>KARLSBORG</t>
        </is>
      </c>
      <c r="G562" t="n">
        <v>6.6</v>
      </c>
      <c r="H562" t="n">
        <v>0</v>
      </c>
      <c r="I562" t="n">
        <v>0</v>
      </c>
      <c r="J562" t="n">
        <v>0</v>
      </c>
      <c r="K562" t="n">
        <v>0</v>
      </c>
      <c r="L562" t="n">
        <v>0</v>
      </c>
      <c r="M562" t="n">
        <v>0</v>
      </c>
      <c r="N562" t="n">
        <v>0</v>
      </c>
      <c r="O562" t="n">
        <v>0</v>
      </c>
      <c r="P562" t="n">
        <v>0</v>
      </c>
      <c r="Q562" t="n">
        <v>0</v>
      </c>
      <c r="R562" s="2" t="inlineStr"/>
    </row>
    <row r="563" ht="15" customHeight="1">
      <c r="A563" t="inlineStr">
        <is>
          <t>A 35702-2018</t>
        </is>
      </c>
      <c r="B563" s="1" t="n">
        <v>43325</v>
      </c>
      <c r="C563" s="1" t="n">
        <v>45227</v>
      </c>
      <c r="D563" t="inlineStr">
        <is>
          <t>VÄSTRA GÖTALANDS LÄN</t>
        </is>
      </c>
      <c r="E563" t="inlineStr">
        <is>
          <t>FALKÖPING</t>
        </is>
      </c>
      <c r="G563" t="n">
        <v>2.7</v>
      </c>
      <c r="H563" t="n">
        <v>0</v>
      </c>
      <c r="I563" t="n">
        <v>0</v>
      </c>
      <c r="J563" t="n">
        <v>0</v>
      </c>
      <c r="K563" t="n">
        <v>0</v>
      </c>
      <c r="L563" t="n">
        <v>0</v>
      </c>
      <c r="M563" t="n">
        <v>0</v>
      </c>
      <c r="N563" t="n">
        <v>0</v>
      </c>
      <c r="O563" t="n">
        <v>0</v>
      </c>
      <c r="P563" t="n">
        <v>0</v>
      </c>
      <c r="Q563" t="n">
        <v>0</v>
      </c>
      <c r="R563" s="2" t="inlineStr"/>
    </row>
    <row r="564" ht="15" customHeight="1">
      <c r="A564" t="inlineStr">
        <is>
          <t>A 35566-2018</t>
        </is>
      </c>
      <c r="B564" s="1" t="n">
        <v>43326</v>
      </c>
      <c r="C564" s="1" t="n">
        <v>45227</v>
      </c>
      <c r="D564" t="inlineStr">
        <is>
          <t>VÄSTRA GÖTALANDS LÄN</t>
        </is>
      </c>
      <c r="E564" t="inlineStr">
        <is>
          <t>HÄRRYDA</t>
        </is>
      </c>
      <c r="G564" t="n">
        <v>1.6</v>
      </c>
      <c r="H564" t="n">
        <v>0</v>
      </c>
      <c r="I564" t="n">
        <v>0</v>
      </c>
      <c r="J564" t="n">
        <v>0</v>
      </c>
      <c r="K564" t="n">
        <v>0</v>
      </c>
      <c r="L564" t="n">
        <v>0</v>
      </c>
      <c r="M564" t="n">
        <v>0</v>
      </c>
      <c r="N564" t="n">
        <v>0</v>
      </c>
      <c r="O564" t="n">
        <v>0</v>
      </c>
      <c r="P564" t="n">
        <v>0</v>
      </c>
      <c r="Q564" t="n">
        <v>0</v>
      </c>
      <c r="R564" s="2" t="inlineStr"/>
    </row>
    <row r="565" ht="15" customHeight="1">
      <c r="A565" t="inlineStr">
        <is>
          <t>A 35724-2018</t>
        </is>
      </c>
      <c r="B565" s="1" t="n">
        <v>43326</v>
      </c>
      <c r="C565" s="1" t="n">
        <v>45227</v>
      </c>
      <c r="D565" t="inlineStr">
        <is>
          <t>VÄSTRA GÖTALANDS LÄN</t>
        </is>
      </c>
      <c r="E565" t="inlineStr">
        <is>
          <t>VÄNERSBORG</t>
        </is>
      </c>
      <c r="F565" t="inlineStr">
        <is>
          <t>Kommuner</t>
        </is>
      </c>
      <c r="G565" t="n">
        <v>2.6</v>
      </c>
      <c r="H565" t="n">
        <v>0</v>
      </c>
      <c r="I565" t="n">
        <v>0</v>
      </c>
      <c r="J565" t="n">
        <v>0</v>
      </c>
      <c r="K565" t="n">
        <v>0</v>
      </c>
      <c r="L565" t="n">
        <v>0</v>
      </c>
      <c r="M565" t="n">
        <v>0</v>
      </c>
      <c r="N565" t="n">
        <v>0</v>
      </c>
      <c r="O565" t="n">
        <v>0</v>
      </c>
      <c r="P565" t="n">
        <v>0</v>
      </c>
      <c r="Q565" t="n">
        <v>0</v>
      </c>
      <c r="R565" s="2" t="inlineStr"/>
    </row>
    <row r="566" ht="15" customHeight="1">
      <c r="A566" t="inlineStr">
        <is>
          <t>A 36262-2018</t>
        </is>
      </c>
      <c r="B566" s="1" t="n">
        <v>43327</v>
      </c>
      <c r="C566" s="1" t="n">
        <v>45227</v>
      </c>
      <c r="D566" t="inlineStr">
        <is>
          <t>VÄSTRA GÖTALANDS LÄN</t>
        </is>
      </c>
      <c r="E566" t="inlineStr">
        <is>
          <t>TANUM</t>
        </is>
      </c>
      <c r="G566" t="n">
        <v>1.2</v>
      </c>
      <c r="H566" t="n">
        <v>0</v>
      </c>
      <c r="I566" t="n">
        <v>0</v>
      </c>
      <c r="J566" t="n">
        <v>0</v>
      </c>
      <c r="K566" t="n">
        <v>0</v>
      </c>
      <c r="L566" t="n">
        <v>0</v>
      </c>
      <c r="M566" t="n">
        <v>0</v>
      </c>
      <c r="N566" t="n">
        <v>0</v>
      </c>
      <c r="O566" t="n">
        <v>0</v>
      </c>
      <c r="P566" t="n">
        <v>0</v>
      </c>
      <c r="Q566" t="n">
        <v>0</v>
      </c>
      <c r="R566" s="2" t="inlineStr"/>
    </row>
    <row r="567" ht="15" customHeight="1">
      <c r="A567" t="inlineStr">
        <is>
          <t>A 36246-2018</t>
        </is>
      </c>
      <c r="B567" s="1" t="n">
        <v>43327</v>
      </c>
      <c r="C567" s="1" t="n">
        <v>45227</v>
      </c>
      <c r="D567" t="inlineStr">
        <is>
          <t>VÄSTRA GÖTALANDS LÄN</t>
        </is>
      </c>
      <c r="E567" t="inlineStr">
        <is>
          <t>TANUM</t>
        </is>
      </c>
      <c r="G567" t="n">
        <v>1.6</v>
      </c>
      <c r="H567" t="n">
        <v>0</v>
      </c>
      <c r="I567" t="n">
        <v>0</v>
      </c>
      <c r="J567" t="n">
        <v>0</v>
      </c>
      <c r="K567" t="n">
        <v>0</v>
      </c>
      <c r="L567" t="n">
        <v>0</v>
      </c>
      <c r="M567" t="n">
        <v>0</v>
      </c>
      <c r="N567" t="n">
        <v>0</v>
      </c>
      <c r="O567" t="n">
        <v>0</v>
      </c>
      <c r="P567" t="n">
        <v>0</v>
      </c>
      <c r="Q567" t="n">
        <v>0</v>
      </c>
      <c r="R567" s="2" t="inlineStr"/>
    </row>
    <row r="568" ht="15" customHeight="1">
      <c r="A568" t="inlineStr">
        <is>
          <t>A 36264-2018</t>
        </is>
      </c>
      <c r="B568" s="1" t="n">
        <v>43327</v>
      </c>
      <c r="C568" s="1" t="n">
        <v>45227</v>
      </c>
      <c r="D568" t="inlineStr">
        <is>
          <t>VÄSTRA GÖTALANDS LÄN</t>
        </is>
      </c>
      <c r="E568" t="inlineStr">
        <is>
          <t>TANUM</t>
        </is>
      </c>
      <c r="G568" t="n">
        <v>1.5</v>
      </c>
      <c r="H568" t="n">
        <v>0</v>
      </c>
      <c r="I568" t="n">
        <v>0</v>
      </c>
      <c r="J568" t="n">
        <v>0</v>
      </c>
      <c r="K568" t="n">
        <v>0</v>
      </c>
      <c r="L568" t="n">
        <v>0</v>
      </c>
      <c r="M568" t="n">
        <v>0</v>
      </c>
      <c r="N568" t="n">
        <v>0</v>
      </c>
      <c r="O568" t="n">
        <v>0</v>
      </c>
      <c r="P568" t="n">
        <v>0</v>
      </c>
      <c r="Q568" t="n">
        <v>0</v>
      </c>
      <c r="R568" s="2" t="inlineStr"/>
    </row>
    <row r="569" ht="15" customHeight="1">
      <c r="A569" t="inlineStr">
        <is>
          <t>A 36081-2018</t>
        </is>
      </c>
      <c r="B569" s="1" t="n">
        <v>43327</v>
      </c>
      <c r="C569" s="1" t="n">
        <v>45227</v>
      </c>
      <c r="D569" t="inlineStr">
        <is>
          <t>VÄSTRA GÖTALANDS LÄN</t>
        </is>
      </c>
      <c r="E569" t="inlineStr">
        <is>
          <t>MARK</t>
        </is>
      </c>
      <c r="G569" t="n">
        <v>4.2</v>
      </c>
      <c r="H569" t="n">
        <v>0</v>
      </c>
      <c r="I569" t="n">
        <v>0</v>
      </c>
      <c r="J569" t="n">
        <v>0</v>
      </c>
      <c r="K569" t="n">
        <v>0</v>
      </c>
      <c r="L569" t="n">
        <v>0</v>
      </c>
      <c r="M569" t="n">
        <v>0</v>
      </c>
      <c r="N569" t="n">
        <v>0</v>
      </c>
      <c r="O569" t="n">
        <v>0</v>
      </c>
      <c r="P569" t="n">
        <v>0</v>
      </c>
      <c r="Q569" t="n">
        <v>0</v>
      </c>
      <c r="R569" s="2" t="inlineStr"/>
    </row>
    <row r="570" ht="15" customHeight="1">
      <c r="A570" t="inlineStr">
        <is>
          <t>A 36270-2018</t>
        </is>
      </c>
      <c r="B570" s="1" t="n">
        <v>43327</v>
      </c>
      <c r="C570" s="1" t="n">
        <v>45227</v>
      </c>
      <c r="D570" t="inlineStr">
        <is>
          <t>VÄSTRA GÖTALANDS LÄN</t>
        </is>
      </c>
      <c r="E570" t="inlineStr">
        <is>
          <t>TANUM</t>
        </is>
      </c>
      <c r="G570" t="n">
        <v>1</v>
      </c>
      <c r="H570" t="n">
        <v>0</v>
      </c>
      <c r="I570" t="n">
        <v>0</v>
      </c>
      <c r="J570" t="n">
        <v>0</v>
      </c>
      <c r="K570" t="n">
        <v>0</v>
      </c>
      <c r="L570" t="n">
        <v>0</v>
      </c>
      <c r="M570" t="n">
        <v>0</v>
      </c>
      <c r="N570" t="n">
        <v>0</v>
      </c>
      <c r="O570" t="n">
        <v>0</v>
      </c>
      <c r="P570" t="n">
        <v>0</v>
      </c>
      <c r="Q570" t="n">
        <v>0</v>
      </c>
      <c r="R570" s="2" t="inlineStr"/>
    </row>
    <row r="571" ht="15" customHeight="1">
      <c r="A571" t="inlineStr">
        <is>
          <t>A 36272-2018</t>
        </is>
      </c>
      <c r="B571" s="1" t="n">
        <v>43327</v>
      </c>
      <c r="C571" s="1" t="n">
        <v>45227</v>
      </c>
      <c r="D571" t="inlineStr">
        <is>
          <t>VÄSTRA GÖTALANDS LÄN</t>
        </is>
      </c>
      <c r="E571" t="inlineStr">
        <is>
          <t>DALS-ED</t>
        </is>
      </c>
      <c r="F571" t="inlineStr">
        <is>
          <t>Kyrkan</t>
        </is>
      </c>
      <c r="G571" t="n">
        <v>4.9</v>
      </c>
      <c r="H571" t="n">
        <v>0</v>
      </c>
      <c r="I571" t="n">
        <v>0</v>
      </c>
      <c r="J571" t="n">
        <v>0</v>
      </c>
      <c r="K571" t="n">
        <v>0</v>
      </c>
      <c r="L571" t="n">
        <v>0</v>
      </c>
      <c r="M571" t="n">
        <v>0</v>
      </c>
      <c r="N571" t="n">
        <v>0</v>
      </c>
      <c r="O571" t="n">
        <v>0</v>
      </c>
      <c r="P571" t="n">
        <v>0</v>
      </c>
      <c r="Q571" t="n">
        <v>0</v>
      </c>
      <c r="R571" s="2" t="inlineStr"/>
    </row>
    <row r="572" ht="15" customHeight="1">
      <c r="A572" t="inlineStr">
        <is>
          <t>A 36131-2018</t>
        </is>
      </c>
      <c r="B572" s="1" t="n">
        <v>43328</v>
      </c>
      <c r="C572" s="1" t="n">
        <v>45227</v>
      </c>
      <c r="D572" t="inlineStr">
        <is>
          <t>VÄSTRA GÖTALANDS LÄN</t>
        </is>
      </c>
      <c r="E572" t="inlineStr">
        <is>
          <t>SVENLJUNGA</t>
        </is>
      </c>
      <c r="F572" t="inlineStr">
        <is>
          <t>Sveaskog</t>
        </is>
      </c>
      <c r="G572" t="n">
        <v>10.4</v>
      </c>
      <c r="H572" t="n">
        <v>0</v>
      </c>
      <c r="I572" t="n">
        <v>0</v>
      </c>
      <c r="J572" t="n">
        <v>0</v>
      </c>
      <c r="K572" t="n">
        <v>0</v>
      </c>
      <c r="L572" t="n">
        <v>0</v>
      </c>
      <c r="M572" t="n">
        <v>0</v>
      </c>
      <c r="N572" t="n">
        <v>0</v>
      </c>
      <c r="O572" t="n">
        <v>0</v>
      </c>
      <c r="P572" t="n">
        <v>0</v>
      </c>
      <c r="Q572" t="n">
        <v>0</v>
      </c>
      <c r="R572" s="2" t="inlineStr"/>
    </row>
    <row r="573" ht="15" customHeight="1">
      <c r="A573" t="inlineStr">
        <is>
          <t>A 36520-2018</t>
        </is>
      </c>
      <c r="B573" s="1" t="n">
        <v>43328</v>
      </c>
      <c r="C573" s="1" t="n">
        <v>45227</v>
      </c>
      <c r="D573" t="inlineStr">
        <is>
          <t>VÄSTRA GÖTALANDS LÄN</t>
        </is>
      </c>
      <c r="E573" t="inlineStr">
        <is>
          <t>LILLA EDET</t>
        </is>
      </c>
      <c r="F573" t="inlineStr">
        <is>
          <t>Kyrkan</t>
        </is>
      </c>
      <c r="G573" t="n">
        <v>1.8</v>
      </c>
      <c r="H573" t="n">
        <v>0</v>
      </c>
      <c r="I573" t="n">
        <v>0</v>
      </c>
      <c r="J573" t="n">
        <v>0</v>
      </c>
      <c r="K573" t="n">
        <v>0</v>
      </c>
      <c r="L573" t="n">
        <v>0</v>
      </c>
      <c r="M573" t="n">
        <v>0</v>
      </c>
      <c r="N573" t="n">
        <v>0</v>
      </c>
      <c r="O573" t="n">
        <v>0</v>
      </c>
      <c r="P573" t="n">
        <v>0</v>
      </c>
      <c r="Q573" t="n">
        <v>0</v>
      </c>
      <c r="R573" s="2" t="inlineStr"/>
    </row>
    <row r="574" ht="15" customHeight="1">
      <c r="A574" t="inlineStr">
        <is>
          <t>A 36408-2018</t>
        </is>
      </c>
      <c r="B574" s="1" t="n">
        <v>43329</v>
      </c>
      <c r="C574" s="1" t="n">
        <v>45227</v>
      </c>
      <c r="D574" t="inlineStr">
        <is>
          <t>VÄSTRA GÖTALANDS LÄN</t>
        </is>
      </c>
      <c r="E574" t="inlineStr">
        <is>
          <t>BORÅS</t>
        </is>
      </c>
      <c r="G574" t="n">
        <v>1.3</v>
      </c>
      <c r="H574" t="n">
        <v>0</v>
      </c>
      <c r="I574" t="n">
        <v>0</v>
      </c>
      <c r="J574" t="n">
        <v>0</v>
      </c>
      <c r="K574" t="n">
        <v>0</v>
      </c>
      <c r="L574" t="n">
        <v>0</v>
      </c>
      <c r="M574" t="n">
        <v>0</v>
      </c>
      <c r="N574" t="n">
        <v>0</v>
      </c>
      <c r="O574" t="n">
        <v>0</v>
      </c>
      <c r="P574" t="n">
        <v>0</v>
      </c>
      <c r="Q574" t="n">
        <v>0</v>
      </c>
      <c r="R574" s="2" t="inlineStr"/>
    </row>
    <row r="575" ht="15" customHeight="1">
      <c r="A575" t="inlineStr">
        <is>
          <t>A 36474-2018</t>
        </is>
      </c>
      <c r="B575" s="1" t="n">
        <v>43329</v>
      </c>
      <c r="C575" s="1" t="n">
        <v>45227</v>
      </c>
      <c r="D575" t="inlineStr">
        <is>
          <t>VÄSTRA GÖTALANDS LÄN</t>
        </is>
      </c>
      <c r="E575" t="inlineStr">
        <is>
          <t>SVENLJUNGA</t>
        </is>
      </c>
      <c r="G575" t="n">
        <v>1.4</v>
      </c>
      <c r="H575" t="n">
        <v>0</v>
      </c>
      <c r="I575" t="n">
        <v>0</v>
      </c>
      <c r="J575" t="n">
        <v>0</v>
      </c>
      <c r="K575" t="n">
        <v>0</v>
      </c>
      <c r="L575" t="n">
        <v>0</v>
      </c>
      <c r="M575" t="n">
        <v>0</v>
      </c>
      <c r="N575" t="n">
        <v>0</v>
      </c>
      <c r="O575" t="n">
        <v>0</v>
      </c>
      <c r="P575" t="n">
        <v>0</v>
      </c>
      <c r="Q575" t="n">
        <v>0</v>
      </c>
      <c r="R575" s="2" t="inlineStr"/>
    </row>
    <row r="576" ht="15" customHeight="1">
      <c r="A576" t="inlineStr">
        <is>
          <t>A 36691-2018</t>
        </is>
      </c>
      <c r="B576" s="1" t="n">
        <v>43329</v>
      </c>
      <c r="C576" s="1" t="n">
        <v>45227</v>
      </c>
      <c r="D576" t="inlineStr">
        <is>
          <t>VÄSTRA GÖTALANDS LÄN</t>
        </is>
      </c>
      <c r="E576" t="inlineStr">
        <is>
          <t>BORÅS</t>
        </is>
      </c>
      <c r="F576" t="inlineStr">
        <is>
          <t>Kommuner</t>
        </is>
      </c>
      <c r="G576" t="n">
        <v>5.5</v>
      </c>
      <c r="H576" t="n">
        <v>0</v>
      </c>
      <c r="I576" t="n">
        <v>0</v>
      </c>
      <c r="J576" t="n">
        <v>0</v>
      </c>
      <c r="K576" t="n">
        <v>0</v>
      </c>
      <c r="L576" t="n">
        <v>0</v>
      </c>
      <c r="M576" t="n">
        <v>0</v>
      </c>
      <c r="N576" t="n">
        <v>0</v>
      </c>
      <c r="O576" t="n">
        <v>0</v>
      </c>
      <c r="P576" t="n">
        <v>0</v>
      </c>
      <c r="Q576" t="n">
        <v>0</v>
      </c>
      <c r="R576" s="2" t="inlineStr"/>
    </row>
    <row r="577" ht="15" customHeight="1">
      <c r="A577" t="inlineStr">
        <is>
          <t>A 36399-2018</t>
        </is>
      </c>
      <c r="B577" s="1" t="n">
        <v>43329</v>
      </c>
      <c r="C577" s="1" t="n">
        <v>45227</v>
      </c>
      <c r="D577" t="inlineStr">
        <is>
          <t>VÄSTRA GÖTALANDS LÄN</t>
        </is>
      </c>
      <c r="E577" t="inlineStr">
        <is>
          <t>BORÅS</t>
        </is>
      </c>
      <c r="G577" t="n">
        <v>3.6</v>
      </c>
      <c r="H577" t="n">
        <v>0</v>
      </c>
      <c r="I577" t="n">
        <v>0</v>
      </c>
      <c r="J577" t="n">
        <v>0</v>
      </c>
      <c r="K577" t="n">
        <v>0</v>
      </c>
      <c r="L577" t="n">
        <v>0</v>
      </c>
      <c r="M577" t="n">
        <v>0</v>
      </c>
      <c r="N577" t="n">
        <v>0</v>
      </c>
      <c r="O577" t="n">
        <v>0</v>
      </c>
      <c r="P577" t="n">
        <v>0</v>
      </c>
      <c r="Q577" t="n">
        <v>0</v>
      </c>
      <c r="R577" s="2" t="inlineStr"/>
    </row>
    <row r="578" ht="15" customHeight="1">
      <c r="A578" t="inlineStr">
        <is>
          <t>A 36418-2018</t>
        </is>
      </c>
      <c r="B578" s="1" t="n">
        <v>43329</v>
      </c>
      <c r="C578" s="1" t="n">
        <v>45227</v>
      </c>
      <c r="D578" t="inlineStr">
        <is>
          <t>VÄSTRA GÖTALANDS LÄN</t>
        </is>
      </c>
      <c r="E578" t="inlineStr">
        <is>
          <t>BORÅS</t>
        </is>
      </c>
      <c r="G578" t="n">
        <v>7</v>
      </c>
      <c r="H578" t="n">
        <v>0</v>
      </c>
      <c r="I578" t="n">
        <v>0</v>
      </c>
      <c r="J578" t="n">
        <v>0</v>
      </c>
      <c r="K578" t="n">
        <v>0</v>
      </c>
      <c r="L578" t="n">
        <v>0</v>
      </c>
      <c r="M578" t="n">
        <v>0</v>
      </c>
      <c r="N578" t="n">
        <v>0</v>
      </c>
      <c r="O578" t="n">
        <v>0</v>
      </c>
      <c r="P578" t="n">
        <v>0</v>
      </c>
      <c r="Q578" t="n">
        <v>0</v>
      </c>
      <c r="R578" s="2" t="inlineStr"/>
    </row>
    <row r="579" ht="15" customHeight="1">
      <c r="A579" t="inlineStr">
        <is>
          <t>A 36460-2018</t>
        </is>
      </c>
      <c r="B579" s="1" t="n">
        <v>43329</v>
      </c>
      <c r="C579" s="1" t="n">
        <v>45227</v>
      </c>
      <c r="D579" t="inlineStr">
        <is>
          <t>VÄSTRA GÖTALANDS LÄN</t>
        </is>
      </c>
      <c r="E579" t="inlineStr">
        <is>
          <t>VÄNERSBORG</t>
        </is>
      </c>
      <c r="G579" t="n">
        <v>28.7</v>
      </c>
      <c r="H579" t="n">
        <v>0</v>
      </c>
      <c r="I579" t="n">
        <v>0</v>
      </c>
      <c r="J579" t="n">
        <v>0</v>
      </c>
      <c r="K579" t="n">
        <v>0</v>
      </c>
      <c r="L579" t="n">
        <v>0</v>
      </c>
      <c r="M579" t="n">
        <v>0</v>
      </c>
      <c r="N579" t="n">
        <v>0</v>
      </c>
      <c r="O579" t="n">
        <v>0</v>
      </c>
      <c r="P579" t="n">
        <v>0</v>
      </c>
      <c r="Q579" t="n">
        <v>0</v>
      </c>
      <c r="R579" s="2" t="inlineStr"/>
    </row>
    <row r="580" ht="15" customHeight="1">
      <c r="A580" t="inlineStr">
        <is>
          <t>A 36495-2018</t>
        </is>
      </c>
      <c r="B580" s="1" t="n">
        <v>43329</v>
      </c>
      <c r="C580" s="1" t="n">
        <v>45227</v>
      </c>
      <c r="D580" t="inlineStr">
        <is>
          <t>VÄSTRA GÖTALANDS LÄN</t>
        </is>
      </c>
      <c r="E580" t="inlineStr">
        <is>
          <t>TANUM</t>
        </is>
      </c>
      <c r="F580" t="inlineStr">
        <is>
          <t>Sveaskog</t>
        </is>
      </c>
      <c r="G580" t="n">
        <v>0.6</v>
      </c>
      <c r="H580" t="n">
        <v>0</v>
      </c>
      <c r="I580" t="n">
        <v>0</v>
      </c>
      <c r="J580" t="n">
        <v>0</v>
      </c>
      <c r="K580" t="n">
        <v>0</v>
      </c>
      <c r="L580" t="n">
        <v>0</v>
      </c>
      <c r="M580" t="n">
        <v>0</v>
      </c>
      <c r="N580" t="n">
        <v>0</v>
      </c>
      <c r="O580" t="n">
        <v>0</v>
      </c>
      <c r="P580" t="n">
        <v>0</v>
      </c>
      <c r="Q580" t="n">
        <v>0</v>
      </c>
      <c r="R580" s="2" t="inlineStr"/>
    </row>
    <row r="581" ht="15" customHeight="1">
      <c r="A581" t="inlineStr">
        <is>
          <t>A 37015-2018</t>
        </is>
      </c>
      <c r="B581" s="1" t="n">
        <v>43332</v>
      </c>
      <c r="C581" s="1" t="n">
        <v>45227</v>
      </c>
      <c r="D581" t="inlineStr">
        <is>
          <t>VÄSTRA GÖTALANDS LÄN</t>
        </is>
      </c>
      <c r="E581" t="inlineStr">
        <is>
          <t>VARA</t>
        </is>
      </c>
      <c r="G581" t="n">
        <v>7.9</v>
      </c>
      <c r="H581" t="n">
        <v>0</v>
      </c>
      <c r="I581" t="n">
        <v>0</v>
      </c>
      <c r="J581" t="n">
        <v>0</v>
      </c>
      <c r="K581" t="n">
        <v>0</v>
      </c>
      <c r="L581" t="n">
        <v>0</v>
      </c>
      <c r="M581" t="n">
        <v>0</v>
      </c>
      <c r="N581" t="n">
        <v>0</v>
      </c>
      <c r="O581" t="n">
        <v>0</v>
      </c>
      <c r="P581" t="n">
        <v>0</v>
      </c>
      <c r="Q581" t="n">
        <v>0</v>
      </c>
      <c r="R581" s="2" t="inlineStr"/>
    </row>
    <row r="582" ht="15" customHeight="1">
      <c r="A582" t="inlineStr">
        <is>
          <t>A 36729-2018</t>
        </is>
      </c>
      <c r="B582" s="1" t="n">
        <v>43332</v>
      </c>
      <c r="C582" s="1" t="n">
        <v>45227</v>
      </c>
      <c r="D582" t="inlineStr">
        <is>
          <t>VÄSTRA GÖTALANDS LÄN</t>
        </is>
      </c>
      <c r="E582" t="inlineStr">
        <is>
          <t>TIDAHOLM</t>
        </is>
      </c>
      <c r="G582" t="n">
        <v>1.8</v>
      </c>
      <c r="H582" t="n">
        <v>0</v>
      </c>
      <c r="I582" t="n">
        <v>0</v>
      </c>
      <c r="J582" t="n">
        <v>0</v>
      </c>
      <c r="K582" t="n">
        <v>0</v>
      </c>
      <c r="L582" t="n">
        <v>0</v>
      </c>
      <c r="M582" t="n">
        <v>0</v>
      </c>
      <c r="N582" t="n">
        <v>0</v>
      </c>
      <c r="O582" t="n">
        <v>0</v>
      </c>
      <c r="P582" t="n">
        <v>0</v>
      </c>
      <c r="Q582" t="n">
        <v>0</v>
      </c>
      <c r="R582" s="2" t="inlineStr"/>
    </row>
    <row r="583" ht="15" customHeight="1">
      <c r="A583" t="inlineStr">
        <is>
          <t>A 36805-2018</t>
        </is>
      </c>
      <c r="B583" s="1" t="n">
        <v>43332</v>
      </c>
      <c r="C583" s="1" t="n">
        <v>45227</v>
      </c>
      <c r="D583" t="inlineStr">
        <is>
          <t>VÄSTRA GÖTALANDS LÄN</t>
        </is>
      </c>
      <c r="E583" t="inlineStr">
        <is>
          <t>ORUST</t>
        </is>
      </c>
      <c r="G583" t="n">
        <v>4.1</v>
      </c>
      <c r="H583" t="n">
        <v>0</v>
      </c>
      <c r="I583" t="n">
        <v>0</v>
      </c>
      <c r="J583" t="n">
        <v>0</v>
      </c>
      <c r="K583" t="n">
        <v>0</v>
      </c>
      <c r="L583" t="n">
        <v>0</v>
      </c>
      <c r="M583" t="n">
        <v>0</v>
      </c>
      <c r="N583" t="n">
        <v>0</v>
      </c>
      <c r="O583" t="n">
        <v>0</v>
      </c>
      <c r="P583" t="n">
        <v>0</v>
      </c>
      <c r="Q583" t="n">
        <v>0</v>
      </c>
      <c r="R583" s="2" t="inlineStr"/>
    </row>
    <row r="584" ht="15" customHeight="1">
      <c r="A584" t="inlineStr">
        <is>
          <t>A 36922-2018</t>
        </is>
      </c>
      <c r="B584" s="1" t="n">
        <v>43332</v>
      </c>
      <c r="C584" s="1" t="n">
        <v>45227</v>
      </c>
      <c r="D584" t="inlineStr">
        <is>
          <t>VÄSTRA GÖTALANDS LÄN</t>
        </is>
      </c>
      <c r="E584" t="inlineStr">
        <is>
          <t>SKARA</t>
        </is>
      </c>
      <c r="G584" t="n">
        <v>2.4</v>
      </c>
      <c r="H584" t="n">
        <v>0</v>
      </c>
      <c r="I584" t="n">
        <v>0</v>
      </c>
      <c r="J584" t="n">
        <v>0</v>
      </c>
      <c r="K584" t="n">
        <v>0</v>
      </c>
      <c r="L584" t="n">
        <v>0</v>
      </c>
      <c r="M584" t="n">
        <v>0</v>
      </c>
      <c r="N584" t="n">
        <v>0</v>
      </c>
      <c r="O584" t="n">
        <v>0</v>
      </c>
      <c r="P584" t="n">
        <v>0</v>
      </c>
      <c r="Q584" t="n">
        <v>0</v>
      </c>
      <c r="R584" s="2" t="inlineStr"/>
    </row>
    <row r="585" ht="15" customHeight="1">
      <c r="A585" t="inlineStr">
        <is>
          <t>A 37342-2018</t>
        </is>
      </c>
      <c r="B585" s="1" t="n">
        <v>43333</v>
      </c>
      <c r="C585" s="1" t="n">
        <v>45227</v>
      </c>
      <c r="D585" t="inlineStr">
        <is>
          <t>VÄSTRA GÖTALANDS LÄN</t>
        </is>
      </c>
      <c r="E585" t="inlineStr">
        <is>
          <t>STRÖMSTAD</t>
        </is>
      </c>
      <c r="G585" t="n">
        <v>7.6</v>
      </c>
      <c r="H585" t="n">
        <v>0</v>
      </c>
      <c r="I585" t="n">
        <v>0</v>
      </c>
      <c r="J585" t="n">
        <v>0</v>
      </c>
      <c r="K585" t="n">
        <v>0</v>
      </c>
      <c r="L585" t="n">
        <v>0</v>
      </c>
      <c r="M585" t="n">
        <v>0</v>
      </c>
      <c r="N585" t="n">
        <v>0</v>
      </c>
      <c r="O585" t="n">
        <v>0</v>
      </c>
      <c r="P585" t="n">
        <v>0</v>
      </c>
      <c r="Q585" t="n">
        <v>0</v>
      </c>
      <c r="R585" s="2" t="inlineStr"/>
    </row>
    <row r="586" ht="15" customHeight="1">
      <c r="A586" t="inlineStr">
        <is>
          <t>A 37175-2018</t>
        </is>
      </c>
      <c r="B586" s="1" t="n">
        <v>43333</v>
      </c>
      <c r="C586" s="1" t="n">
        <v>45227</v>
      </c>
      <c r="D586" t="inlineStr">
        <is>
          <t>VÄSTRA GÖTALANDS LÄN</t>
        </is>
      </c>
      <c r="E586" t="inlineStr">
        <is>
          <t>MARIESTAD</t>
        </is>
      </c>
      <c r="G586" t="n">
        <v>5</v>
      </c>
      <c r="H586" t="n">
        <v>0</v>
      </c>
      <c r="I586" t="n">
        <v>0</v>
      </c>
      <c r="J586" t="n">
        <v>0</v>
      </c>
      <c r="K586" t="n">
        <v>0</v>
      </c>
      <c r="L586" t="n">
        <v>0</v>
      </c>
      <c r="M586" t="n">
        <v>0</v>
      </c>
      <c r="N586" t="n">
        <v>0</v>
      </c>
      <c r="O586" t="n">
        <v>0</v>
      </c>
      <c r="P586" t="n">
        <v>0</v>
      </c>
      <c r="Q586" t="n">
        <v>0</v>
      </c>
      <c r="R586" s="2" t="inlineStr"/>
    </row>
    <row r="587" ht="15" customHeight="1">
      <c r="A587" t="inlineStr">
        <is>
          <t>A 37637-2018</t>
        </is>
      </c>
      <c r="B587" s="1" t="n">
        <v>43334</v>
      </c>
      <c r="C587" s="1" t="n">
        <v>45227</v>
      </c>
      <c r="D587" t="inlineStr">
        <is>
          <t>VÄSTRA GÖTALANDS LÄN</t>
        </is>
      </c>
      <c r="E587" t="inlineStr">
        <is>
          <t>TANUM</t>
        </is>
      </c>
      <c r="G587" t="n">
        <v>2.2</v>
      </c>
      <c r="H587" t="n">
        <v>0</v>
      </c>
      <c r="I587" t="n">
        <v>0</v>
      </c>
      <c r="J587" t="n">
        <v>0</v>
      </c>
      <c r="K587" t="n">
        <v>0</v>
      </c>
      <c r="L587" t="n">
        <v>0</v>
      </c>
      <c r="M587" t="n">
        <v>0</v>
      </c>
      <c r="N587" t="n">
        <v>0</v>
      </c>
      <c r="O587" t="n">
        <v>0</v>
      </c>
      <c r="P587" t="n">
        <v>0</v>
      </c>
      <c r="Q587" t="n">
        <v>0</v>
      </c>
      <c r="R587" s="2" t="inlineStr"/>
    </row>
    <row r="588" ht="15" customHeight="1">
      <c r="A588" t="inlineStr">
        <is>
          <t>A 37727-2018</t>
        </is>
      </c>
      <c r="B588" s="1" t="n">
        <v>43334</v>
      </c>
      <c r="C588" s="1" t="n">
        <v>45227</v>
      </c>
      <c r="D588" t="inlineStr">
        <is>
          <t>VÄSTRA GÖTALANDS LÄN</t>
        </is>
      </c>
      <c r="E588" t="inlineStr">
        <is>
          <t>UDDEVALLA</t>
        </is>
      </c>
      <c r="G588" t="n">
        <v>0.9</v>
      </c>
      <c r="H588" t="n">
        <v>0</v>
      </c>
      <c r="I588" t="n">
        <v>0</v>
      </c>
      <c r="J588" t="n">
        <v>0</v>
      </c>
      <c r="K588" t="n">
        <v>0</v>
      </c>
      <c r="L588" t="n">
        <v>0</v>
      </c>
      <c r="M588" t="n">
        <v>0</v>
      </c>
      <c r="N588" t="n">
        <v>0</v>
      </c>
      <c r="O588" t="n">
        <v>0</v>
      </c>
      <c r="P588" t="n">
        <v>0</v>
      </c>
      <c r="Q588" t="n">
        <v>0</v>
      </c>
      <c r="R588" s="2" t="inlineStr"/>
    </row>
    <row r="589" ht="15" customHeight="1">
      <c r="A589" t="inlineStr">
        <is>
          <t>A 37480-2018</t>
        </is>
      </c>
      <c r="B589" s="1" t="n">
        <v>43334</v>
      </c>
      <c r="C589" s="1" t="n">
        <v>45227</v>
      </c>
      <c r="D589" t="inlineStr">
        <is>
          <t>VÄSTRA GÖTALANDS LÄN</t>
        </is>
      </c>
      <c r="E589" t="inlineStr">
        <is>
          <t>ULRICEHAMN</t>
        </is>
      </c>
      <c r="G589" t="n">
        <v>5.5</v>
      </c>
      <c r="H589" t="n">
        <v>0</v>
      </c>
      <c r="I589" t="n">
        <v>0</v>
      </c>
      <c r="J589" t="n">
        <v>0</v>
      </c>
      <c r="K589" t="n">
        <v>0</v>
      </c>
      <c r="L589" t="n">
        <v>0</v>
      </c>
      <c r="M589" t="n">
        <v>0</v>
      </c>
      <c r="N589" t="n">
        <v>0</v>
      </c>
      <c r="O589" t="n">
        <v>0</v>
      </c>
      <c r="P589" t="n">
        <v>0</v>
      </c>
      <c r="Q589" t="n">
        <v>0</v>
      </c>
      <c r="R589" s="2" t="inlineStr"/>
    </row>
    <row r="590" ht="15" customHeight="1">
      <c r="A590" t="inlineStr">
        <is>
          <t>A 37609-2018</t>
        </is>
      </c>
      <c r="B590" s="1" t="n">
        <v>43334</v>
      </c>
      <c r="C590" s="1" t="n">
        <v>45227</v>
      </c>
      <c r="D590" t="inlineStr">
        <is>
          <t>VÄSTRA GÖTALANDS LÄN</t>
        </is>
      </c>
      <c r="E590" t="inlineStr">
        <is>
          <t>ALINGSÅS</t>
        </is>
      </c>
      <c r="G590" t="n">
        <v>7.5</v>
      </c>
      <c r="H590" t="n">
        <v>0</v>
      </c>
      <c r="I590" t="n">
        <v>0</v>
      </c>
      <c r="J590" t="n">
        <v>0</v>
      </c>
      <c r="K590" t="n">
        <v>0</v>
      </c>
      <c r="L590" t="n">
        <v>0</v>
      </c>
      <c r="M590" t="n">
        <v>0</v>
      </c>
      <c r="N590" t="n">
        <v>0</v>
      </c>
      <c r="O590" t="n">
        <v>0</v>
      </c>
      <c r="P590" t="n">
        <v>0</v>
      </c>
      <c r="Q590" t="n">
        <v>0</v>
      </c>
      <c r="R590" s="2" t="inlineStr"/>
    </row>
    <row r="591" ht="15" customHeight="1">
      <c r="A591" t="inlineStr">
        <is>
          <t>A 37649-2018</t>
        </is>
      </c>
      <c r="B591" s="1" t="n">
        <v>43334</v>
      </c>
      <c r="C591" s="1" t="n">
        <v>45227</v>
      </c>
      <c r="D591" t="inlineStr">
        <is>
          <t>VÄSTRA GÖTALANDS LÄN</t>
        </is>
      </c>
      <c r="E591" t="inlineStr">
        <is>
          <t>ULRICEHAMN</t>
        </is>
      </c>
      <c r="G591" t="n">
        <v>1.6</v>
      </c>
      <c r="H591" t="n">
        <v>0</v>
      </c>
      <c r="I591" t="n">
        <v>0</v>
      </c>
      <c r="J591" t="n">
        <v>0</v>
      </c>
      <c r="K591" t="n">
        <v>0</v>
      </c>
      <c r="L591" t="n">
        <v>0</v>
      </c>
      <c r="M591" t="n">
        <v>0</v>
      </c>
      <c r="N591" t="n">
        <v>0</v>
      </c>
      <c r="O591" t="n">
        <v>0</v>
      </c>
      <c r="P591" t="n">
        <v>0</v>
      </c>
      <c r="Q591" t="n">
        <v>0</v>
      </c>
      <c r="R591" s="2" t="inlineStr"/>
    </row>
    <row r="592" ht="15" customHeight="1">
      <c r="A592" t="inlineStr">
        <is>
          <t>A 37730-2018</t>
        </is>
      </c>
      <c r="B592" s="1" t="n">
        <v>43335</v>
      </c>
      <c r="C592" s="1" t="n">
        <v>45227</v>
      </c>
      <c r="D592" t="inlineStr">
        <is>
          <t>VÄSTRA GÖTALANDS LÄN</t>
        </is>
      </c>
      <c r="E592" t="inlineStr">
        <is>
          <t>SKARA</t>
        </is>
      </c>
      <c r="G592" t="n">
        <v>7.2</v>
      </c>
      <c r="H592" t="n">
        <v>0</v>
      </c>
      <c r="I592" t="n">
        <v>0</v>
      </c>
      <c r="J592" t="n">
        <v>0</v>
      </c>
      <c r="K592" t="n">
        <v>0</v>
      </c>
      <c r="L592" t="n">
        <v>0</v>
      </c>
      <c r="M592" t="n">
        <v>0</v>
      </c>
      <c r="N592" t="n">
        <v>0</v>
      </c>
      <c r="O592" t="n">
        <v>0</v>
      </c>
      <c r="P592" t="n">
        <v>0</v>
      </c>
      <c r="Q592" t="n">
        <v>0</v>
      </c>
      <c r="R592" s="2" t="inlineStr"/>
    </row>
    <row r="593" ht="15" customHeight="1">
      <c r="A593" t="inlineStr">
        <is>
          <t>A 37998-2018</t>
        </is>
      </c>
      <c r="B593" s="1" t="n">
        <v>43335</v>
      </c>
      <c r="C593" s="1" t="n">
        <v>45227</v>
      </c>
      <c r="D593" t="inlineStr">
        <is>
          <t>VÄSTRA GÖTALANDS LÄN</t>
        </is>
      </c>
      <c r="E593" t="inlineStr">
        <is>
          <t>GULLSPÅNG</t>
        </is>
      </c>
      <c r="G593" t="n">
        <v>1.4</v>
      </c>
      <c r="H593" t="n">
        <v>0</v>
      </c>
      <c r="I593" t="n">
        <v>0</v>
      </c>
      <c r="J593" t="n">
        <v>0</v>
      </c>
      <c r="K593" t="n">
        <v>0</v>
      </c>
      <c r="L593" t="n">
        <v>0</v>
      </c>
      <c r="M593" t="n">
        <v>0</v>
      </c>
      <c r="N593" t="n">
        <v>0</v>
      </c>
      <c r="O593" t="n">
        <v>0</v>
      </c>
      <c r="P593" t="n">
        <v>0</v>
      </c>
      <c r="Q593" t="n">
        <v>0</v>
      </c>
      <c r="R593" s="2" t="inlineStr"/>
    </row>
    <row r="594" ht="15" customHeight="1">
      <c r="A594" t="inlineStr">
        <is>
          <t>A 37657-2018</t>
        </is>
      </c>
      <c r="B594" s="1" t="n">
        <v>43335</v>
      </c>
      <c r="C594" s="1" t="n">
        <v>45227</v>
      </c>
      <c r="D594" t="inlineStr">
        <is>
          <t>VÄSTRA GÖTALANDS LÄN</t>
        </is>
      </c>
      <c r="E594" t="inlineStr">
        <is>
          <t>MELLERUD</t>
        </is>
      </c>
      <c r="G594" t="n">
        <v>3.8</v>
      </c>
      <c r="H594" t="n">
        <v>0</v>
      </c>
      <c r="I594" t="n">
        <v>0</v>
      </c>
      <c r="J594" t="n">
        <v>0</v>
      </c>
      <c r="K594" t="n">
        <v>0</v>
      </c>
      <c r="L594" t="n">
        <v>0</v>
      </c>
      <c r="M594" t="n">
        <v>0</v>
      </c>
      <c r="N594" t="n">
        <v>0</v>
      </c>
      <c r="O594" t="n">
        <v>0</v>
      </c>
      <c r="P594" t="n">
        <v>0</v>
      </c>
      <c r="Q594" t="n">
        <v>0</v>
      </c>
      <c r="R594" s="2" t="inlineStr"/>
    </row>
    <row r="595" ht="15" customHeight="1">
      <c r="A595" t="inlineStr">
        <is>
          <t>A 38811-2018</t>
        </is>
      </c>
      <c r="B595" s="1" t="n">
        <v>43336</v>
      </c>
      <c r="C595" s="1" t="n">
        <v>45227</v>
      </c>
      <c r="D595" t="inlineStr">
        <is>
          <t>VÄSTRA GÖTALANDS LÄN</t>
        </is>
      </c>
      <c r="E595" t="inlineStr">
        <is>
          <t>BENGTSFORS</t>
        </is>
      </c>
      <c r="G595" t="n">
        <v>4.9</v>
      </c>
      <c r="H595" t="n">
        <v>0</v>
      </c>
      <c r="I595" t="n">
        <v>0</v>
      </c>
      <c r="J595" t="n">
        <v>0</v>
      </c>
      <c r="K595" t="n">
        <v>0</v>
      </c>
      <c r="L595" t="n">
        <v>0</v>
      </c>
      <c r="M595" t="n">
        <v>0</v>
      </c>
      <c r="N595" t="n">
        <v>0</v>
      </c>
      <c r="O595" t="n">
        <v>0</v>
      </c>
      <c r="P595" t="n">
        <v>0</v>
      </c>
      <c r="Q595" t="n">
        <v>0</v>
      </c>
      <c r="R595" s="2" t="inlineStr"/>
    </row>
    <row r="596" ht="15" customHeight="1">
      <c r="A596" t="inlineStr">
        <is>
          <t>A 38845-2018</t>
        </is>
      </c>
      <c r="B596" s="1" t="n">
        <v>43336</v>
      </c>
      <c r="C596" s="1" t="n">
        <v>45227</v>
      </c>
      <c r="D596" t="inlineStr">
        <is>
          <t>VÄSTRA GÖTALANDS LÄN</t>
        </is>
      </c>
      <c r="E596" t="inlineStr">
        <is>
          <t>STRÖMSTAD</t>
        </is>
      </c>
      <c r="G596" t="n">
        <v>2.6</v>
      </c>
      <c r="H596" t="n">
        <v>0</v>
      </c>
      <c r="I596" t="n">
        <v>0</v>
      </c>
      <c r="J596" t="n">
        <v>0</v>
      </c>
      <c r="K596" t="n">
        <v>0</v>
      </c>
      <c r="L596" t="n">
        <v>0</v>
      </c>
      <c r="M596" t="n">
        <v>0</v>
      </c>
      <c r="N596" t="n">
        <v>0</v>
      </c>
      <c r="O596" t="n">
        <v>0</v>
      </c>
      <c r="P596" t="n">
        <v>0</v>
      </c>
      <c r="Q596" t="n">
        <v>0</v>
      </c>
      <c r="R596" s="2" t="inlineStr"/>
    </row>
    <row r="597" ht="15" customHeight="1">
      <c r="A597" t="inlineStr">
        <is>
          <t>A 42231-2018</t>
        </is>
      </c>
      <c r="B597" s="1" t="n">
        <v>43336</v>
      </c>
      <c r="C597" s="1" t="n">
        <v>45227</v>
      </c>
      <c r="D597" t="inlineStr">
        <is>
          <t>VÄSTRA GÖTALANDS LÄN</t>
        </is>
      </c>
      <c r="E597" t="inlineStr">
        <is>
          <t>GULLSPÅNG</t>
        </is>
      </c>
      <c r="G597" t="n">
        <v>2</v>
      </c>
      <c r="H597" t="n">
        <v>0</v>
      </c>
      <c r="I597" t="n">
        <v>0</v>
      </c>
      <c r="J597" t="n">
        <v>0</v>
      </c>
      <c r="K597" t="n">
        <v>0</v>
      </c>
      <c r="L597" t="n">
        <v>0</v>
      </c>
      <c r="M597" t="n">
        <v>0</v>
      </c>
      <c r="N597" t="n">
        <v>0</v>
      </c>
      <c r="O597" t="n">
        <v>0</v>
      </c>
      <c r="P597" t="n">
        <v>0</v>
      </c>
      <c r="Q597" t="n">
        <v>0</v>
      </c>
      <c r="R597" s="2" t="inlineStr"/>
    </row>
    <row r="598" ht="15" customHeight="1">
      <c r="A598" t="inlineStr">
        <is>
          <t>A 37926-2018</t>
        </is>
      </c>
      <c r="B598" s="1" t="n">
        <v>43336</v>
      </c>
      <c r="C598" s="1" t="n">
        <v>45227</v>
      </c>
      <c r="D598" t="inlineStr">
        <is>
          <t>VÄSTRA GÖTALANDS LÄN</t>
        </is>
      </c>
      <c r="E598" t="inlineStr">
        <is>
          <t>VÄNERSBORG</t>
        </is>
      </c>
      <c r="G598" t="n">
        <v>6.1</v>
      </c>
      <c r="H598" t="n">
        <v>0</v>
      </c>
      <c r="I598" t="n">
        <v>0</v>
      </c>
      <c r="J598" t="n">
        <v>0</v>
      </c>
      <c r="K598" t="n">
        <v>0</v>
      </c>
      <c r="L598" t="n">
        <v>0</v>
      </c>
      <c r="M598" t="n">
        <v>0</v>
      </c>
      <c r="N598" t="n">
        <v>0</v>
      </c>
      <c r="O598" t="n">
        <v>0</v>
      </c>
      <c r="P598" t="n">
        <v>0</v>
      </c>
      <c r="Q598" t="n">
        <v>0</v>
      </c>
      <c r="R598" s="2" t="inlineStr"/>
    </row>
    <row r="599" ht="15" customHeight="1">
      <c r="A599" t="inlineStr">
        <is>
          <t>A 38197-2018</t>
        </is>
      </c>
      <c r="B599" s="1" t="n">
        <v>43337</v>
      </c>
      <c r="C599" s="1" t="n">
        <v>45227</v>
      </c>
      <c r="D599" t="inlineStr">
        <is>
          <t>VÄSTRA GÖTALANDS LÄN</t>
        </is>
      </c>
      <c r="E599" t="inlineStr">
        <is>
          <t>MARK</t>
        </is>
      </c>
      <c r="G599" t="n">
        <v>0.9</v>
      </c>
      <c r="H599" t="n">
        <v>0</v>
      </c>
      <c r="I599" t="n">
        <v>0</v>
      </c>
      <c r="J599" t="n">
        <v>0</v>
      </c>
      <c r="K599" t="n">
        <v>0</v>
      </c>
      <c r="L599" t="n">
        <v>0</v>
      </c>
      <c r="M599" t="n">
        <v>0</v>
      </c>
      <c r="N599" t="n">
        <v>0</v>
      </c>
      <c r="O599" t="n">
        <v>0</v>
      </c>
      <c r="P599" t="n">
        <v>0</v>
      </c>
      <c r="Q599" t="n">
        <v>0</v>
      </c>
      <c r="R599" s="2" t="inlineStr"/>
    </row>
    <row r="600" ht="15" customHeight="1">
      <c r="A600" t="inlineStr">
        <is>
          <t>A 38198-2018</t>
        </is>
      </c>
      <c r="B600" s="1" t="n">
        <v>43337</v>
      </c>
      <c r="C600" s="1" t="n">
        <v>45227</v>
      </c>
      <c r="D600" t="inlineStr">
        <is>
          <t>VÄSTRA GÖTALANDS LÄN</t>
        </is>
      </c>
      <c r="E600" t="inlineStr">
        <is>
          <t>MARK</t>
        </is>
      </c>
      <c r="G600" t="n">
        <v>1.3</v>
      </c>
      <c r="H600" t="n">
        <v>0</v>
      </c>
      <c r="I600" t="n">
        <v>0</v>
      </c>
      <c r="J600" t="n">
        <v>0</v>
      </c>
      <c r="K600" t="n">
        <v>0</v>
      </c>
      <c r="L600" t="n">
        <v>0</v>
      </c>
      <c r="M600" t="n">
        <v>0</v>
      </c>
      <c r="N600" t="n">
        <v>0</v>
      </c>
      <c r="O600" t="n">
        <v>0</v>
      </c>
      <c r="P600" t="n">
        <v>0</v>
      </c>
      <c r="Q600" t="n">
        <v>0</v>
      </c>
      <c r="R600" s="2" t="inlineStr"/>
    </row>
    <row r="601" ht="15" customHeight="1">
      <c r="A601" t="inlineStr">
        <is>
          <t>A 38945-2018</t>
        </is>
      </c>
      <c r="B601" s="1" t="n">
        <v>43338</v>
      </c>
      <c r="C601" s="1" t="n">
        <v>45227</v>
      </c>
      <c r="D601" t="inlineStr">
        <is>
          <t>VÄSTRA GÖTALANDS LÄN</t>
        </is>
      </c>
      <c r="E601" t="inlineStr">
        <is>
          <t>LYSEKIL</t>
        </is>
      </c>
      <c r="G601" t="n">
        <v>3.3</v>
      </c>
      <c r="H601" t="n">
        <v>0</v>
      </c>
      <c r="I601" t="n">
        <v>0</v>
      </c>
      <c r="J601" t="n">
        <v>0</v>
      </c>
      <c r="K601" t="n">
        <v>0</v>
      </c>
      <c r="L601" t="n">
        <v>0</v>
      </c>
      <c r="M601" t="n">
        <v>0</v>
      </c>
      <c r="N601" t="n">
        <v>0</v>
      </c>
      <c r="O601" t="n">
        <v>0</v>
      </c>
      <c r="P601" t="n">
        <v>0</v>
      </c>
      <c r="Q601" t="n">
        <v>0</v>
      </c>
      <c r="R601" s="2" t="inlineStr"/>
    </row>
    <row r="602" ht="15" customHeight="1">
      <c r="A602" t="inlineStr">
        <is>
          <t>A 38938-2018</t>
        </is>
      </c>
      <c r="B602" s="1" t="n">
        <v>43338</v>
      </c>
      <c r="C602" s="1" t="n">
        <v>45227</v>
      </c>
      <c r="D602" t="inlineStr">
        <is>
          <t>VÄSTRA GÖTALANDS LÄN</t>
        </is>
      </c>
      <c r="E602" t="inlineStr">
        <is>
          <t>LYSEKIL</t>
        </is>
      </c>
      <c r="G602" t="n">
        <v>0.5</v>
      </c>
      <c r="H602" t="n">
        <v>0</v>
      </c>
      <c r="I602" t="n">
        <v>0</v>
      </c>
      <c r="J602" t="n">
        <v>0</v>
      </c>
      <c r="K602" t="n">
        <v>0</v>
      </c>
      <c r="L602" t="n">
        <v>0</v>
      </c>
      <c r="M602" t="n">
        <v>0</v>
      </c>
      <c r="N602" t="n">
        <v>0</v>
      </c>
      <c r="O602" t="n">
        <v>0</v>
      </c>
      <c r="P602" t="n">
        <v>0</v>
      </c>
      <c r="Q602" t="n">
        <v>0</v>
      </c>
      <c r="R602" s="2" t="inlineStr"/>
    </row>
    <row r="603" ht="15" customHeight="1">
      <c r="A603" t="inlineStr">
        <is>
          <t>A 38238-2018</t>
        </is>
      </c>
      <c r="B603" s="1" t="n">
        <v>43338</v>
      </c>
      <c r="C603" s="1" t="n">
        <v>45227</v>
      </c>
      <c r="D603" t="inlineStr">
        <is>
          <t>VÄSTRA GÖTALANDS LÄN</t>
        </is>
      </c>
      <c r="E603" t="inlineStr">
        <is>
          <t>ÅMÅL</t>
        </is>
      </c>
      <c r="G603" t="n">
        <v>0.8</v>
      </c>
      <c r="H603" t="n">
        <v>0</v>
      </c>
      <c r="I603" t="n">
        <v>0</v>
      </c>
      <c r="J603" t="n">
        <v>0</v>
      </c>
      <c r="K603" t="n">
        <v>0</v>
      </c>
      <c r="L603" t="n">
        <v>0</v>
      </c>
      <c r="M603" t="n">
        <v>0</v>
      </c>
      <c r="N603" t="n">
        <v>0</v>
      </c>
      <c r="O603" t="n">
        <v>0</v>
      </c>
      <c r="P603" t="n">
        <v>0</v>
      </c>
      <c r="Q603" t="n">
        <v>0</v>
      </c>
      <c r="R603" s="2" t="inlineStr"/>
    </row>
    <row r="604" ht="15" customHeight="1">
      <c r="A604" t="inlineStr">
        <is>
          <t>A 39398-2018</t>
        </is>
      </c>
      <c r="B604" s="1" t="n">
        <v>43339</v>
      </c>
      <c r="C604" s="1" t="n">
        <v>45227</v>
      </c>
      <c r="D604" t="inlineStr">
        <is>
          <t>VÄSTRA GÖTALANDS LÄN</t>
        </is>
      </c>
      <c r="E604" t="inlineStr">
        <is>
          <t>BENGTSFORS</t>
        </is>
      </c>
      <c r="G604" t="n">
        <v>4.5</v>
      </c>
      <c r="H604" t="n">
        <v>0</v>
      </c>
      <c r="I604" t="n">
        <v>0</v>
      </c>
      <c r="J604" t="n">
        <v>0</v>
      </c>
      <c r="K604" t="n">
        <v>0</v>
      </c>
      <c r="L604" t="n">
        <v>0</v>
      </c>
      <c r="M604" t="n">
        <v>0</v>
      </c>
      <c r="N604" t="n">
        <v>0</v>
      </c>
      <c r="O604" t="n">
        <v>0</v>
      </c>
      <c r="P604" t="n">
        <v>0</v>
      </c>
      <c r="Q604" t="n">
        <v>0</v>
      </c>
      <c r="R604" s="2" t="inlineStr"/>
    </row>
    <row r="605" ht="15" customHeight="1">
      <c r="A605" t="inlineStr">
        <is>
          <t>A 38367-2018</t>
        </is>
      </c>
      <c r="B605" s="1" t="n">
        <v>43339</v>
      </c>
      <c r="C605" s="1" t="n">
        <v>45227</v>
      </c>
      <c r="D605" t="inlineStr">
        <is>
          <t>VÄSTRA GÖTALANDS LÄN</t>
        </is>
      </c>
      <c r="E605" t="inlineStr">
        <is>
          <t>HERRLJUNGA</t>
        </is>
      </c>
      <c r="G605" t="n">
        <v>0.9</v>
      </c>
      <c r="H605" t="n">
        <v>0</v>
      </c>
      <c r="I605" t="n">
        <v>0</v>
      </c>
      <c r="J605" t="n">
        <v>0</v>
      </c>
      <c r="K605" t="n">
        <v>0</v>
      </c>
      <c r="L605" t="n">
        <v>0</v>
      </c>
      <c r="M605" t="n">
        <v>0</v>
      </c>
      <c r="N605" t="n">
        <v>0</v>
      </c>
      <c r="O605" t="n">
        <v>0</v>
      </c>
      <c r="P605" t="n">
        <v>0</v>
      </c>
      <c r="Q605" t="n">
        <v>0</v>
      </c>
      <c r="R605" s="2" t="inlineStr"/>
    </row>
    <row r="606" ht="15" customHeight="1">
      <c r="A606" t="inlineStr">
        <is>
          <t>A 38504-2018</t>
        </is>
      </c>
      <c r="B606" s="1" t="n">
        <v>43339</v>
      </c>
      <c r="C606" s="1" t="n">
        <v>45227</v>
      </c>
      <c r="D606" t="inlineStr">
        <is>
          <t>VÄSTRA GÖTALANDS LÄN</t>
        </is>
      </c>
      <c r="E606" t="inlineStr">
        <is>
          <t>TRANEMO</t>
        </is>
      </c>
      <c r="G606" t="n">
        <v>0.6</v>
      </c>
      <c r="H606" t="n">
        <v>0</v>
      </c>
      <c r="I606" t="n">
        <v>0</v>
      </c>
      <c r="J606" t="n">
        <v>0</v>
      </c>
      <c r="K606" t="n">
        <v>0</v>
      </c>
      <c r="L606" t="n">
        <v>0</v>
      </c>
      <c r="M606" t="n">
        <v>0</v>
      </c>
      <c r="N606" t="n">
        <v>0</v>
      </c>
      <c r="O606" t="n">
        <v>0</v>
      </c>
      <c r="P606" t="n">
        <v>0</v>
      </c>
      <c r="Q606" t="n">
        <v>0</v>
      </c>
      <c r="R606" s="2" t="inlineStr"/>
    </row>
    <row r="607" ht="15" customHeight="1">
      <c r="A607" t="inlineStr">
        <is>
          <t>A 39182-2018</t>
        </is>
      </c>
      <c r="B607" s="1" t="n">
        <v>43339</v>
      </c>
      <c r="C607" s="1" t="n">
        <v>45227</v>
      </c>
      <c r="D607" t="inlineStr">
        <is>
          <t>VÄSTRA GÖTALANDS LÄN</t>
        </is>
      </c>
      <c r="E607" t="inlineStr">
        <is>
          <t>BENGTSFORS</t>
        </is>
      </c>
      <c r="G607" t="n">
        <v>4.8</v>
      </c>
      <c r="H607" t="n">
        <v>0</v>
      </c>
      <c r="I607" t="n">
        <v>0</v>
      </c>
      <c r="J607" t="n">
        <v>0</v>
      </c>
      <c r="K607" t="n">
        <v>0</v>
      </c>
      <c r="L607" t="n">
        <v>0</v>
      </c>
      <c r="M607" t="n">
        <v>0</v>
      </c>
      <c r="N607" t="n">
        <v>0</v>
      </c>
      <c r="O607" t="n">
        <v>0</v>
      </c>
      <c r="P607" t="n">
        <v>0</v>
      </c>
      <c r="Q607" t="n">
        <v>0</v>
      </c>
      <c r="R607" s="2" t="inlineStr"/>
    </row>
    <row r="608" ht="15" customHeight="1">
      <c r="A608" t="inlineStr">
        <is>
          <t>A 39304-2018</t>
        </is>
      </c>
      <c r="B608" s="1" t="n">
        <v>43339</v>
      </c>
      <c r="C608" s="1" t="n">
        <v>45227</v>
      </c>
      <c r="D608" t="inlineStr">
        <is>
          <t>VÄSTRA GÖTALANDS LÄN</t>
        </is>
      </c>
      <c r="E608" t="inlineStr">
        <is>
          <t>BENGTSFORS</t>
        </is>
      </c>
      <c r="G608" t="n">
        <v>8.9</v>
      </c>
      <c r="H608" t="n">
        <v>0</v>
      </c>
      <c r="I608" t="n">
        <v>0</v>
      </c>
      <c r="J608" t="n">
        <v>0</v>
      </c>
      <c r="K608" t="n">
        <v>0</v>
      </c>
      <c r="L608" t="n">
        <v>0</v>
      </c>
      <c r="M608" t="n">
        <v>0</v>
      </c>
      <c r="N608" t="n">
        <v>0</v>
      </c>
      <c r="O608" t="n">
        <v>0</v>
      </c>
      <c r="P608" t="n">
        <v>0</v>
      </c>
      <c r="Q608" t="n">
        <v>0</v>
      </c>
      <c r="R608" s="2" t="inlineStr"/>
    </row>
    <row r="609" ht="15" customHeight="1">
      <c r="A609" t="inlineStr">
        <is>
          <t>A 38374-2018</t>
        </is>
      </c>
      <c r="B609" s="1" t="n">
        <v>43339</v>
      </c>
      <c r="C609" s="1" t="n">
        <v>45227</v>
      </c>
      <c r="D609" t="inlineStr">
        <is>
          <t>VÄSTRA GÖTALANDS LÄN</t>
        </is>
      </c>
      <c r="E609" t="inlineStr">
        <is>
          <t>ULRICEHAMN</t>
        </is>
      </c>
      <c r="G609" t="n">
        <v>2.1</v>
      </c>
      <c r="H609" t="n">
        <v>0</v>
      </c>
      <c r="I609" t="n">
        <v>0</v>
      </c>
      <c r="J609" t="n">
        <v>0</v>
      </c>
      <c r="K609" t="n">
        <v>0</v>
      </c>
      <c r="L609" t="n">
        <v>0</v>
      </c>
      <c r="M609" t="n">
        <v>0</v>
      </c>
      <c r="N609" t="n">
        <v>0</v>
      </c>
      <c r="O609" t="n">
        <v>0</v>
      </c>
      <c r="P609" t="n">
        <v>0</v>
      </c>
      <c r="Q609" t="n">
        <v>0</v>
      </c>
      <c r="R609" s="2" t="inlineStr"/>
    </row>
    <row r="610" ht="15" customHeight="1">
      <c r="A610" t="inlineStr">
        <is>
          <t>A 38594-2018</t>
        </is>
      </c>
      <c r="B610" s="1" t="n">
        <v>43339</v>
      </c>
      <c r="C610" s="1" t="n">
        <v>45227</v>
      </c>
      <c r="D610" t="inlineStr">
        <is>
          <t>VÄSTRA GÖTALANDS LÄN</t>
        </is>
      </c>
      <c r="E610" t="inlineStr">
        <is>
          <t>ULRICEHAMN</t>
        </is>
      </c>
      <c r="F610" t="inlineStr">
        <is>
          <t>Sveaskog</t>
        </is>
      </c>
      <c r="G610" t="n">
        <v>2.6</v>
      </c>
      <c r="H610" t="n">
        <v>0</v>
      </c>
      <c r="I610" t="n">
        <v>0</v>
      </c>
      <c r="J610" t="n">
        <v>0</v>
      </c>
      <c r="K610" t="n">
        <v>0</v>
      </c>
      <c r="L610" t="n">
        <v>0</v>
      </c>
      <c r="M610" t="n">
        <v>0</v>
      </c>
      <c r="N610" t="n">
        <v>0</v>
      </c>
      <c r="O610" t="n">
        <v>0</v>
      </c>
      <c r="P610" t="n">
        <v>0</v>
      </c>
      <c r="Q610" t="n">
        <v>0</v>
      </c>
      <c r="R610" s="2" t="inlineStr"/>
    </row>
    <row r="611" ht="15" customHeight="1">
      <c r="A611" t="inlineStr">
        <is>
          <t>A 39312-2018</t>
        </is>
      </c>
      <c r="B611" s="1" t="n">
        <v>43339</v>
      </c>
      <c r="C611" s="1" t="n">
        <v>45227</v>
      </c>
      <c r="D611" t="inlineStr">
        <is>
          <t>VÄSTRA GÖTALANDS LÄN</t>
        </is>
      </c>
      <c r="E611" t="inlineStr">
        <is>
          <t>VARA</t>
        </is>
      </c>
      <c r="G611" t="n">
        <v>0.6</v>
      </c>
      <c r="H611" t="n">
        <v>0</v>
      </c>
      <c r="I611" t="n">
        <v>0</v>
      </c>
      <c r="J611" t="n">
        <v>0</v>
      </c>
      <c r="K611" t="n">
        <v>0</v>
      </c>
      <c r="L611" t="n">
        <v>0</v>
      </c>
      <c r="M611" t="n">
        <v>0</v>
      </c>
      <c r="N611" t="n">
        <v>0</v>
      </c>
      <c r="O611" t="n">
        <v>0</v>
      </c>
      <c r="P611" t="n">
        <v>0</v>
      </c>
      <c r="Q611" t="n">
        <v>0</v>
      </c>
      <c r="R611" s="2" t="inlineStr"/>
    </row>
    <row r="612" ht="15" customHeight="1">
      <c r="A612" t="inlineStr">
        <is>
          <t>A 39000-2018</t>
        </is>
      </c>
      <c r="B612" s="1" t="n">
        <v>43339</v>
      </c>
      <c r="C612" s="1" t="n">
        <v>45227</v>
      </c>
      <c r="D612" t="inlineStr">
        <is>
          <t>VÄSTRA GÖTALANDS LÄN</t>
        </is>
      </c>
      <c r="E612" t="inlineStr">
        <is>
          <t>BENGTSFORS</t>
        </is>
      </c>
      <c r="G612" t="n">
        <v>2.7</v>
      </c>
      <c r="H612" t="n">
        <v>0</v>
      </c>
      <c r="I612" t="n">
        <v>0</v>
      </c>
      <c r="J612" t="n">
        <v>0</v>
      </c>
      <c r="K612" t="n">
        <v>0</v>
      </c>
      <c r="L612" t="n">
        <v>0</v>
      </c>
      <c r="M612" t="n">
        <v>0</v>
      </c>
      <c r="N612" t="n">
        <v>0</v>
      </c>
      <c r="O612" t="n">
        <v>0</v>
      </c>
      <c r="P612" t="n">
        <v>0</v>
      </c>
      <c r="Q612" t="n">
        <v>0</v>
      </c>
      <c r="R612" s="2" t="inlineStr"/>
    </row>
    <row r="613" ht="15" customHeight="1">
      <c r="A613" t="inlineStr">
        <is>
          <t>A 39589-2018</t>
        </is>
      </c>
      <c r="B613" s="1" t="n">
        <v>43340</v>
      </c>
      <c r="C613" s="1" t="n">
        <v>45227</v>
      </c>
      <c r="D613" t="inlineStr">
        <is>
          <t>VÄSTRA GÖTALANDS LÄN</t>
        </is>
      </c>
      <c r="E613" t="inlineStr">
        <is>
          <t>VÄNERSBORG</t>
        </is>
      </c>
      <c r="G613" t="n">
        <v>6</v>
      </c>
      <c r="H613" t="n">
        <v>0</v>
      </c>
      <c r="I613" t="n">
        <v>0</v>
      </c>
      <c r="J613" t="n">
        <v>0</v>
      </c>
      <c r="K613" t="n">
        <v>0</v>
      </c>
      <c r="L613" t="n">
        <v>0</v>
      </c>
      <c r="M613" t="n">
        <v>0</v>
      </c>
      <c r="N613" t="n">
        <v>0</v>
      </c>
      <c r="O613" t="n">
        <v>0</v>
      </c>
      <c r="P613" t="n">
        <v>0</v>
      </c>
      <c r="Q613" t="n">
        <v>0</v>
      </c>
      <c r="R613" s="2" t="inlineStr"/>
    </row>
    <row r="614" ht="15" customHeight="1">
      <c r="A614" t="inlineStr">
        <is>
          <t>A 72682-2018</t>
        </is>
      </c>
      <c r="B614" s="1" t="n">
        <v>43340</v>
      </c>
      <c r="C614" s="1" t="n">
        <v>45227</v>
      </c>
      <c r="D614" t="inlineStr">
        <is>
          <t>VÄSTRA GÖTALANDS LÄN</t>
        </is>
      </c>
      <c r="E614" t="inlineStr">
        <is>
          <t>KARLSBORG</t>
        </is>
      </c>
      <c r="G614" t="n">
        <v>1.3</v>
      </c>
      <c r="H614" t="n">
        <v>0</v>
      </c>
      <c r="I614" t="n">
        <v>0</v>
      </c>
      <c r="J614" t="n">
        <v>0</v>
      </c>
      <c r="K614" t="n">
        <v>0</v>
      </c>
      <c r="L614" t="n">
        <v>0</v>
      </c>
      <c r="M614" t="n">
        <v>0</v>
      </c>
      <c r="N614" t="n">
        <v>0</v>
      </c>
      <c r="O614" t="n">
        <v>0</v>
      </c>
      <c r="P614" t="n">
        <v>0</v>
      </c>
      <c r="Q614" t="n">
        <v>0</v>
      </c>
      <c r="R614" s="2" t="inlineStr"/>
    </row>
    <row r="615" ht="15" customHeight="1">
      <c r="A615" t="inlineStr">
        <is>
          <t>A 39595-2018</t>
        </is>
      </c>
      <c r="B615" s="1" t="n">
        <v>43340</v>
      </c>
      <c r="C615" s="1" t="n">
        <v>45227</v>
      </c>
      <c r="D615" t="inlineStr">
        <is>
          <t>VÄSTRA GÖTALANDS LÄN</t>
        </is>
      </c>
      <c r="E615" t="inlineStr">
        <is>
          <t>LIDKÖPING</t>
        </is>
      </c>
      <c r="G615" t="n">
        <v>0.9</v>
      </c>
      <c r="H615" t="n">
        <v>0</v>
      </c>
      <c r="I615" t="n">
        <v>0</v>
      </c>
      <c r="J615" t="n">
        <v>0</v>
      </c>
      <c r="K615" t="n">
        <v>0</v>
      </c>
      <c r="L615" t="n">
        <v>0</v>
      </c>
      <c r="M615" t="n">
        <v>0</v>
      </c>
      <c r="N615" t="n">
        <v>0</v>
      </c>
      <c r="O615" t="n">
        <v>0</v>
      </c>
      <c r="P615" t="n">
        <v>0</v>
      </c>
      <c r="Q615" t="n">
        <v>0</v>
      </c>
      <c r="R615" s="2" t="inlineStr"/>
    </row>
    <row r="616" ht="15" customHeight="1">
      <c r="A616" t="inlineStr">
        <is>
          <t>A 38690-2018</t>
        </is>
      </c>
      <c r="B616" s="1" t="n">
        <v>43340</v>
      </c>
      <c r="C616" s="1" t="n">
        <v>45227</v>
      </c>
      <c r="D616" t="inlineStr">
        <is>
          <t>VÄSTRA GÖTALANDS LÄN</t>
        </is>
      </c>
      <c r="E616" t="inlineStr">
        <is>
          <t>FALKÖPING</t>
        </is>
      </c>
      <c r="G616" t="n">
        <v>2.3</v>
      </c>
      <c r="H616" t="n">
        <v>0</v>
      </c>
      <c r="I616" t="n">
        <v>0</v>
      </c>
      <c r="J616" t="n">
        <v>0</v>
      </c>
      <c r="K616" t="n">
        <v>0</v>
      </c>
      <c r="L616" t="n">
        <v>0</v>
      </c>
      <c r="M616" t="n">
        <v>0</v>
      </c>
      <c r="N616" t="n">
        <v>0</v>
      </c>
      <c r="O616" t="n">
        <v>0</v>
      </c>
      <c r="P616" t="n">
        <v>0</v>
      </c>
      <c r="Q616" t="n">
        <v>0</v>
      </c>
      <c r="R616" s="2" t="inlineStr"/>
    </row>
    <row r="617" ht="15" customHeight="1">
      <c r="A617" t="inlineStr">
        <is>
          <t>A 39100-2018</t>
        </is>
      </c>
      <c r="B617" s="1" t="n">
        <v>43340</v>
      </c>
      <c r="C617" s="1" t="n">
        <v>45227</v>
      </c>
      <c r="D617" t="inlineStr">
        <is>
          <t>VÄSTRA GÖTALANDS LÄN</t>
        </is>
      </c>
      <c r="E617" t="inlineStr">
        <is>
          <t>HERRLJUNGA</t>
        </is>
      </c>
      <c r="G617" t="n">
        <v>1.5</v>
      </c>
      <c r="H617" t="n">
        <v>0</v>
      </c>
      <c r="I617" t="n">
        <v>0</v>
      </c>
      <c r="J617" t="n">
        <v>0</v>
      </c>
      <c r="K617" t="n">
        <v>0</v>
      </c>
      <c r="L617" t="n">
        <v>0</v>
      </c>
      <c r="M617" t="n">
        <v>0</v>
      </c>
      <c r="N617" t="n">
        <v>0</v>
      </c>
      <c r="O617" t="n">
        <v>0</v>
      </c>
      <c r="P617" t="n">
        <v>0</v>
      </c>
      <c r="Q617" t="n">
        <v>0</v>
      </c>
      <c r="R617" s="2" t="inlineStr"/>
    </row>
    <row r="618" ht="15" customHeight="1">
      <c r="A618" t="inlineStr">
        <is>
          <t>A 39496-2018</t>
        </is>
      </c>
      <c r="B618" s="1" t="n">
        <v>43340</v>
      </c>
      <c r="C618" s="1" t="n">
        <v>45227</v>
      </c>
      <c r="D618" t="inlineStr">
        <is>
          <t>VÄSTRA GÖTALANDS LÄN</t>
        </is>
      </c>
      <c r="E618" t="inlineStr">
        <is>
          <t>BENGTSFORS</t>
        </is>
      </c>
      <c r="G618" t="n">
        <v>2.5</v>
      </c>
      <c r="H618" t="n">
        <v>0</v>
      </c>
      <c r="I618" t="n">
        <v>0</v>
      </c>
      <c r="J618" t="n">
        <v>0</v>
      </c>
      <c r="K618" t="n">
        <v>0</v>
      </c>
      <c r="L618" t="n">
        <v>0</v>
      </c>
      <c r="M618" t="n">
        <v>0</v>
      </c>
      <c r="N618" t="n">
        <v>0</v>
      </c>
      <c r="O618" t="n">
        <v>0</v>
      </c>
      <c r="P618" t="n">
        <v>0</v>
      </c>
      <c r="Q618" t="n">
        <v>0</v>
      </c>
      <c r="R618" s="2" t="inlineStr"/>
    </row>
    <row r="619" ht="15" customHeight="1">
      <c r="A619" t="inlineStr">
        <is>
          <t>A 38923-2018</t>
        </is>
      </c>
      <c r="B619" s="1" t="n">
        <v>43340</v>
      </c>
      <c r="C619" s="1" t="n">
        <v>45227</v>
      </c>
      <c r="D619" t="inlineStr">
        <is>
          <t>VÄSTRA GÖTALANDS LÄN</t>
        </is>
      </c>
      <c r="E619" t="inlineStr">
        <is>
          <t>KUNGÄLV</t>
        </is>
      </c>
      <c r="G619" t="n">
        <v>13.1</v>
      </c>
      <c r="H619" t="n">
        <v>0</v>
      </c>
      <c r="I619" t="n">
        <v>0</v>
      </c>
      <c r="J619" t="n">
        <v>0</v>
      </c>
      <c r="K619" t="n">
        <v>0</v>
      </c>
      <c r="L619" t="n">
        <v>0</v>
      </c>
      <c r="M619" t="n">
        <v>0</v>
      </c>
      <c r="N619" t="n">
        <v>0</v>
      </c>
      <c r="O619" t="n">
        <v>0</v>
      </c>
      <c r="P619" t="n">
        <v>0</v>
      </c>
      <c r="Q619" t="n">
        <v>0</v>
      </c>
      <c r="R619" s="2" t="inlineStr"/>
    </row>
    <row r="620" ht="15" customHeight="1">
      <c r="A620" t="inlineStr">
        <is>
          <t>A 39653-2018</t>
        </is>
      </c>
      <c r="B620" s="1" t="n">
        <v>43341</v>
      </c>
      <c r="C620" s="1" t="n">
        <v>45227</v>
      </c>
      <c r="D620" t="inlineStr">
        <is>
          <t>VÄSTRA GÖTALANDS LÄN</t>
        </is>
      </c>
      <c r="E620" t="inlineStr">
        <is>
          <t>TRANEMO</t>
        </is>
      </c>
      <c r="G620" t="n">
        <v>1.5</v>
      </c>
      <c r="H620" t="n">
        <v>0</v>
      </c>
      <c r="I620" t="n">
        <v>0</v>
      </c>
      <c r="J620" t="n">
        <v>0</v>
      </c>
      <c r="K620" t="n">
        <v>0</v>
      </c>
      <c r="L620" t="n">
        <v>0</v>
      </c>
      <c r="M620" t="n">
        <v>0</v>
      </c>
      <c r="N620" t="n">
        <v>0</v>
      </c>
      <c r="O620" t="n">
        <v>0</v>
      </c>
      <c r="P620" t="n">
        <v>0</v>
      </c>
      <c r="Q620" t="n">
        <v>0</v>
      </c>
      <c r="R620" s="2" t="inlineStr"/>
    </row>
    <row r="621" ht="15" customHeight="1">
      <c r="A621" t="inlineStr">
        <is>
          <t>A 39940-2018</t>
        </is>
      </c>
      <c r="B621" s="1" t="n">
        <v>43342</v>
      </c>
      <c r="C621" s="1" t="n">
        <v>45227</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40426-2018</t>
        </is>
      </c>
      <c r="B622" s="1" t="n">
        <v>43342</v>
      </c>
      <c r="C622" s="1" t="n">
        <v>45227</v>
      </c>
      <c r="D622" t="inlineStr">
        <is>
          <t>VÄSTRA GÖTALANDS LÄN</t>
        </is>
      </c>
      <c r="E622" t="inlineStr">
        <is>
          <t>MUNKEDAL</t>
        </is>
      </c>
      <c r="G622" t="n">
        <v>7.3</v>
      </c>
      <c r="H622" t="n">
        <v>0</v>
      </c>
      <c r="I622" t="n">
        <v>0</v>
      </c>
      <c r="J622" t="n">
        <v>0</v>
      </c>
      <c r="K622" t="n">
        <v>0</v>
      </c>
      <c r="L622" t="n">
        <v>0</v>
      </c>
      <c r="M622" t="n">
        <v>0</v>
      </c>
      <c r="N622" t="n">
        <v>0</v>
      </c>
      <c r="O622" t="n">
        <v>0</v>
      </c>
      <c r="P622" t="n">
        <v>0</v>
      </c>
      <c r="Q622" t="n">
        <v>0</v>
      </c>
      <c r="R622" s="2" t="inlineStr"/>
    </row>
    <row r="623" ht="15" customHeight="1">
      <c r="A623" t="inlineStr">
        <is>
          <t>A 39734-2018</t>
        </is>
      </c>
      <c r="B623" s="1" t="n">
        <v>43342</v>
      </c>
      <c r="C623" s="1" t="n">
        <v>45227</v>
      </c>
      <c r="D623" t="inlineStr">
        <is>
          <t>VÄSTRA GÖTALANDS LÄN</t>
        </is>
      </c>
      <c r="E623" t="inlineStr">
        <is>
          <t>MARK</t>
        </is>
      </c>
      <c r="G623" t="n">
        <v>2.7</v>
      </c>
      <c r="H623" t="n">
        <v>0</v>
      </c>
      <c r="I623" t="n">
        <v>0</v>
      </c>
      <c r="J623" t="n">
        <v>0</v>
      </c>
      <c r="K623" t="n">
        <v>0</v>
      </c>
      <c r="L623" t="n">
        <v>0</v>
      </c>
      <c r="M623" t="n">
        <v>0</v>
      </c>
      <c r="N623" t="n">
        <v>0</v>
      </c>
      <c r="O623" t="n">
        <v>0</v>
      </c>
      <c r="P623" t="n">
        <v>0</v>
      </c>
      <c r="Q623" t="n">
        <v>0</v>
      </c>
      <c r="R623" s="2" t="inlineStr"/>
    </row>
    <row r="624" ht="15" customHeight="1">
      <c r="A624" t="inlineStr">
        <is>
          <t>A 40439-2018</t>
        </is>
      </c>
      <c r="B624" s="1" t="n">
        <v>43342</v>
      </c>
      <c r="C624" s="1" t="n">
        <v>45227</v>
      </c>
      <c r="D624" t="inlineStr">
        <is>
          <t>VÄSTRA GÖTALANDS LÄN</t>
        </is>
      </c>
      <c r="E624" t="inlineStr">
        <is>
          <t>MUNKEDAL</t>
        </is>
      </c>
      <c r="G624" t="n">
        <v>1.4</v>
      </c>
      <c r="H624" t="n">
        <v>0</v>
      </c>
      <c r="I624" t="n">
        <v>0</v>
      </c>
      <c r="J624" t="n">
        <v>0</v>
      </c>
      <c r="K624" t="n">
        <v>0</v>
      </c>
      <c r="L624" t="n">
        <v>0</v>
      </c>
      <c r="M624" t="n">
        <v>0</v>
      </c>
      <c r="N624" t="n">
        <v>0</v>
      </c>
      <c r="O624" t="n">
        <v>0</v>
      </c>
      <c r="P624" t="n">
        <v>0</v>
      </c>
      <c r="Q624" t="n">
        <v>0</v>
      </c>
      <c r="R624" s="2" t="inlineStr"/>
    </row>
    <row r="625" ht="15" customHeight="1">
      <c r="A625" t="inlineStr">
        <is>
          <t>A 40421-2018</t>
        </is>
      </c>
      <c r="B625" s="1" t="n">
        <v>43342</v>
      </c>
      <c r="C625" s="1" t="n">
        <v>45227</v>
      </c>
      <c r="D625" t="inlineStr">
        <is>
          <t>VÄSTRA GÖTALANDS LÄN</t>
        </is>
      </c>
      <c r="E625" t="inlineStr">
        <is>
          <t>MUNKEDAL</t>
        </is>
      </c>
      <c r="G625" t="n">
        <v>1.8</v>
      </c>
      <c r="H625" t="n">
        <v>0</v>
      </c>
      <c r="I625" t="n">
        <v>0</v>
      </c>
      <c r="J625" t="n">
        <v>0</v>
      </c>
      <c r="K625" t="n">
        <v>0</v>
      </c>
      <c r="L625" t="n">
        <v>0</v>
      </c>
      <c r="M625" t="n">
        <v>0</v>
      </c>
      <c r="N625" t="n">
        <v>0</v>
      </c>
      <c r="O625" t="n">
        <v>0</v>
      </c>
      <c r="P625" t="n">
        <v>0</v>
      </c>
      <c r="Q625" t="n">
        <v>0</v>
      </c>
      <c r="R625" s="2" t="inlineStr"/>
    </row>
    <row r="626" ht="15" customHeight="1">
      <c r="A626" t="inlineStr">
        <is>
          <t>A 39719-2018</t>
        </is>
      </c>
      <c r="B626" s="1" t="n">
        <v>43342</v>
      </c>
      <c r="C626" s="1" t="n">
        <v>45227</v>
      </c>
      <c r="D626" t="inlineStr">
        <is>
          <t>VÄSTRA GÖTALANDS LÄN</t>
        </is>
      </c>
      <c r="E626" t="inlineStr">
        <is>
          <t>GULLSPÅNG</t>
        </is>
      </c>
      <c r="G626" t="n">
        <v>1.4</v>
      </c>
      <c r="H626" t="n">
        <v>0</v>
      </c>
      <c r="I626" t="n">
        <v>0</v>
      </c>
      <c r="J626" t="n">
        <v>0</v>
      </c>
      <c r="K626" t="n">
        <v>0</v>
      </c>
      <c r="L626" t="n">
        <v>0</v>
      </c>
      <c r="M626" t="n">
        <v>0</v>
      </c>
      <c r="N626" t="n">
        <v>0</v>
      </c>
      <c r="O626" t="n">
        <v>0</v>
      </c>
      <c r="P626" t="n">
        <v>0</v>
      </c>
      <c r="Q626" t="n">
        <v>0</v>
      </c>
      <c r="R626" s="2" t="inlineStr"/>
    </row>
    <row r="627" ht="15" customHeight="1">
      <c r="A627" t="inlineStr">
        <is>
          <t>A 39877-2018</t>
        </is>
      </c>
      <c r="B627" s="1" t="n">
        <v>43342</v>
      </c>
      <c r="C627" s="1" t="n">
        <v>45227</v>
      </c>
      <c r="D627" t="inlineStr">
        <is>
          <t>VÄSTRA GÖTALANDS LÄN</t>
        </is>
      </c>
      <c r="E627" t="inlineStr">
        <is>
          <t>ALINGSÅS</t>
        </is>
      </c>
      <c r="G627" t="n">
        <v>1</v>
      </c>
      <c r="H627" t="n">
        <v>0</v>
      </c>
      <c r="I627" t="n">
        <v>0</v>
      </c>
      <c r="J627" t="n">
        <v>0</v>
      </c>
      <c r="K627" t="n">
        <v>0</v>
      </c>
      <c r="L627" t="n">
        <v>0</v>
      </c>
      <c r="M627" t="n">
        <v>0</v>
      </c>
      <c r="N627" t="n">
        <v>0</v>
      </c>
      <c r="O627" t="n">
        <v>0</v>
      </c>
      <c r="P627" t="n">
        <v>0</v>
      </c>
      <c r="Q627" t="n">
        <v>0</v>
      </c>
      <c r="R627" s="2" t="inlineStr"/>
    </row>
    <row r="628" ht="15" customHeight="1">
      <c r="A628" t="inlineStr">
        <is>
          <t>A 39955-2018</t>
        </is>
      </c>
      <c r="B628" s="1" t="n">
        <v>43342</v>
      </c>
      <c r="C628" s="1" t="n">
        <v>45227</v>
      </c>
      <c r="D628" t="inlineStr">
        <is>
          <t>VÄSTRA GÖTALANDS LÄN</t>
        </is>
      </c>
      <c r="E628" t="inlineStr">
        <is>
          <t>MUNKEDAL</t>
        </is>
      </c>
      <c r="F628" t="inlineStr">
        <is>
          <t>Kyrkan</t>
        </is>
      </c>
      <c r="G628" t="n">
        <v>0.6</v>
      </c>
      <c r="H628" t="n">
        <v>0</v>
      </c>
      <c r="I628" t="n">
        <v>0</v>
      </c>
      <c r="J628" t="n">
        <v>0</v>
      </c>
      <c r="K628" t="n">
        <v>0</v>
      </c>
      <c r="L628" t="n">
        <v>0</v>
      </c>
      <c r="M628" t="n">
        <v>0</v>
      </c>
      <c r="N628" t="n">
        <v>0</v>
      </c>
      <c r="O628" t="n">
        <v>0</v>
      </c>
      <c r="P628" t="n">
        <v>0</v>
      </c>
      <c r="Q628" t="n">
        <v>0</v>
      </c>
      <c r="R628" s="2" t="inlineStr"/>
    </row>
    <row r="629" ht="15" customHeight="1">
      <c r="A629" t="inlineStr">
        <is>
          <t>A 39960-2018</t>
        </is>
      </c>
      <c r="B629" s="1" t="n">
        <v>43343</v>
      </c>
      <c r="C629" s="1" t="n">
        <v>45227</v>
      </c>
      <c r="D629" t="inlineStr">
        <is>
          <t>VÄSTRA GÖTALANDS LÄN</t>
        </is>
      </c>
      <c r="E629" t="inlineStr">
        <is>
          <t>LYSEKIL</t>
        </is>
      </c>
      <c r="G629" t="n">
        <v>1.1</v>
      </c>
      <c r="H629" t="n">
        <v>0</v>
      </c>
      <c r="I629" t="n">
        <v>0</v>
      </c>
      <c r="J629" t="n">
        <v>0</v>
      </c>
      <c r="K629" t="n">
        <v>0</v>
      </c>
      <c r="L629" t="n">
        <v>0</v>
      </c>
      <c r="M629" t="n">
        <v>0</v>
      </c>
      <c r="N629" t="n">
        <v>0</v>
      </c>
      <c r="O629" t="n">
        <v>0</v>
      </c>
      <c r="P629" t="n">
        <v>0</v>
      </c>
      <c r="Q629" t="n">
        <v>0</v>
      </c>
      <c r="R629" s="2" t="inlineStr"/>
    </row>
    <row r="630" ht="15" customHeight="1">
      <c r="A630" t="inlineStr">
        <is>
          <t>A 39994-2018</t>
        </is>
      </c>
      <c r="B630" s="1" t="n">
        <v>43343</v>
      </c>
      <c r="C630" s="1" t="n">
        <v>45227</v>
      </c>
      <c r="D630" t="inlineStr">
        <is>
          <t>VÄSTRA GÖTALANDS LÄN</t>
        </is>
      </c>
      <c r="E630" t="inlineStr">
        <is>
          <t>KUNGÄLV</t>
        </is>
      </c>
      <c r="G630" t="n">
        <v>0.2</v>
      </c>
      <c r="H630" t="n">
        <v>0</v>
      </c>
      <c r="I630" t="n">
        <v>0</v>
      </c>
      <c r="J630" t="n">
        <v>0</v>
      </c>
      <c r="K630" t="n">
        <v>0</v>
      </c>
      <c r="L630" t="n">
        <v>0</v>
      </c>
      <c r="M630" t="n">
        <v>0</v>
      </c>
      <c r="N630" t="n">
        <v>0</v>
      </c>
      <c r="O630" t="n">
        <v>0</v>
      </c>
      <c r="P630" t="n">
        <v>0</v>
      </c>
      <c r="Q630" t="n">
        <v>0</v>
      </c>
      <c r="R630" s="2" t="inlineStr"/>
    </row>
    <row r="631" ht="15" customHeight="1">
      <c r="A631" t="inlineStr">
        <is>
          <t>A 40120-2018</t>
        </is>
      </c>
      <c r="B631" s="1" t="n">
        <v>43343</v>
      </c>
      <c r="C631" s="1" t="n">
        <v>45227</v>
      </c>
      <c r="D631" t="inlineStr">
        <is>
          <t>VÄSTRA GÖTALANDS LÄN</t>
        </is>
      </c>
      <c r="E631" t="inlineStr">
        <is>
          <t>MELLERUD</t>
        </is>
      </c>
      <c r="G631" t="n">
        <v>8.5</v>
      </c>
      <c r="H631" t="n">
        <v>0</v>
      </c>
      <c r="I631" t="n">
        <v>0</v>
      </c>
      <c r="J631" t="n">
        <v>0</v>
      </c>
      <c r="K631" t="n">
        <v>0</v>
      </c>
      <c r="L631" t="n">
        <v>0</v>
      </c>
      <c r="M631" t="n">
        <v>0</v>
      </c>
      <c r="N631" t="n">
        <v>0</v>
      </c>
      <c r="O631" t="n">
        <v>0</v>
      </c>
      <c r="P631" t="n">
        <v>0</v>
      </c>
      <c r="Q631" t="n">
        <v>0</v>
      </c>
      <c r="R631" s="2" t="inlineStr"/>
    </row>
    <row r="632" ht="15" customHeight="1">
      <c r="A632" t="inlineStr">
        <is>
          <t>A 40443-2018</t>
        </is>
      </c>
      <c r="B632" s="1" t="n">
        <v>43343</v>
      </c>
      <c r="C632" s="1" t="n">
        <v>45227</v>
      </c>
      <c r="D632" t="inlineStr">
        <is>
          <t>VÄSTRA GÖTALANDS LÄN</t>
        </is>
      </c>
      <c r="E632" t="inlineStr">
        <is>
          <t>MELLERUD</t>
        </is>
      </c>
      <c r="G632" t="n">
        <v>7.5</v>
      </c>
      <c r="H632" t="n">
        <v>0</v>
      </c>
      <c r="I632" t="n">
        <v>0</v>
      </c>
      <c r="J632" t="n">
        <v>0</v>
      </c>
      <c r="K632" t="n">
        <v>0</v>
      </c>
      <c r="L632" t="n">
        <v>0</v>
      </c>
      <c r="M632" t="n">
        <v>0</v>
      </c>
      <c r="N632" t="n">
        <v>0</v>
      </c>
      <c r="O632" t="n">
        <v>0</v>
      </c>
      <c r="P632" t="n">
        <v>0</v>
      </c>
      <c r="Q632" t="n">
        <v>0</v>
      </c>
      <c r="R632" s="2" t="inlineStr"/>
    </row>
    <row r="633" ht="15" customHeight="1">
      <c r="A633" t="inlineStr">
        <is>
          <t>A 39992-2018</t>
        </is>
      </c>
      <c r="B633" s="1" t="n">
        <v>43343</v>
      </c>
      <c r="C633" s="1" t="n">
        <v>45227</v>
      </c>
      <c r="D633" t="inlineStr">
        <is>
          <t>VÄSTRA GÖTALANDS LÄN</t>
        </is>
      </c>
      <c r="E633" t="inlineStr">
        <is>
          <t>KUNGÄLV</t>
        </is>
      </c>
      <c r="G633" t="n">
        <v>0.5</v>
      </c>
      <c r="H633" t="n">
        <v>0</v>
      </c>
      <c r="I633" t="n">
        <v>0</v>
      </c>
      <c r="J633" t="n">
        <v>0</v>
      </c>
      <c r="K633" t="n">
        <v>0</v>
      </c>
      <c r="L633" t="n">
        <v>0</v>
      </c>
      <c r="M633" t="n">
        <v>0</v>
      </c>
      <c r="N633" t="n">
        <v>0</v>
      </c>
      <c r="O633" t="n">
        <v>0</v>
      </c>
      <c r="P633" t="n">
        <v>0</v>
      </c>
      <c r="Q633" t="n">
        <v>0</v>
      </c>
      <c r="R633" s="2" t="inlineStr"/>
    </row>
    <row r="634" ht="15" customHeight="1">
      <c r="A634" t="inlineStr">
        <is>
          <t>A 40396-2018</t>
        </is>
      </c>
      <c r="B634" s="1" t="n">
        <v>43346</v>
      </c>
      <c r="C634" s="1" t="n">
        <v>45227</v>
      </c>
      <c r="D634" t="inlineStr">
        <is>
          <t>VÄSTRA GÖTALANDS LÄN</t>
        </is>
      </c>
      <c r="E634" t="inlineStr">
        <is>
          <t>SVENLJUNGA</t>
        </is>
      </c>
      <c r="G634" t="n">
        <v>6</v>
      </c>
      <c r="H634" t="n">
        <v>0</v>
      </c>
      <c r="I634" t="n">
        <v>0</v>
      </c>
      <c r="J634" t="n">
        <v>0</v>
      </c>
      <c r="K634" t="n">
        <v>0</v>
      </c>
      <c r="L634" t="n">
        <v>0</v>
      </c>
      <c r="M634" t="n">
        <v>0</v>
      </c>
      <c r="N634" t="n">
        <v>0</v>
      </c>
      <c r="O634" t="n">
        <v>0</v>
      </c>
      <c r="P634" t="n">
        <v>0</v>
      </c>
      <c r="Q634" t="n">
        <v>0</v>
      </c>
      <c r="R634" s="2" t="inlineStr"/>
    </row>
    <row r="635" ht="15" customHeight="1">
      <c r="A635" t="inlineStr">
        <is>
          <t>A 41175-2018</t>
        </is>
      </c>
      <c r="B635" s="1" t="n">
        <v>43346</v>
      </c>
      <c r="C635" s="1" t="n">
        <v>45227</v>
      </c>
      <c r="D635" t="inlineStr">
        <is>
          <t>VÄSTRA GÖTALANDS LÄN</t>
        </is>
      </c>
      <c r="E635" t="inlineStr">
        <is>
          <t>HERRLJUNGA</t>
        </is>
      </c>
      <c r="G635" t="n">
        <v>2.5</v>
      </c>
      <c r="H635" t="n">
        <v>0</v>
      </c>
      <c r="I635" t="n">
        <v>0</v>
      </c>
      <c r="J635" t="n">
        <v>0</v>
      </c>
      <c r="K635" t="n">
        <v>0</v>
      </c>
      <c r="L635" t="n">
        <v>0</v>
      </c>
      <c r="M635" t="n">
        <v>0</v>
      </c>
      <c r="N635" t="n">
        <v>0</v>
      </c>
      <c r="O635" t="n">
        <v>0</v>
      </c>
      <c r="P635" t="n">
        <v>0</v>
      </c>
      <c r="Q635" t="n">
        <v>0</v>
      </c>
      <c r="R635" s="2" t="inlineStr"/>
    </row>
    <row r="636" ht="15" customHeight="1">
      <c r="A636" t="inlineStr">
        <is>
          <t>A 40540-2018</t>
        </is>
      </c>
      <c r="B636" s="1" t="n">
        <v>43346</v>
      </c>
      <c r="C636" s="1" t="n">
        <v>45227</v>
      </c>
      <c r="D636" t="inlineStr">
        <is>
          <t>VÄSTRA GÖTALANDS LÄN</t>
        </is>
      </c>
      <c r="E636" t="inlineStr">
        <is>
          <t>TRANEMO</t>
        </is>
      </c>
      <c r="G636" t="n">
        <v>2.2</v>
      </c>
      <c r="H636" t="n">
        <v>0</v>
      </c>
      <c r="I636" t="n">
        <v>0</v>
      </c>
      <c r="J636" t="n">
        <v>0</v>
      </c>
      <c r="K636" t="n">
        <v>0</v>
      </c>
      <c r="L636" t="n">
        <v>0</v>
      </c>
      <c r="M636" t="n">
        <v>0</v>
      </c>
      <c r="N636" t="n">
        <v>0</v>
      </c>
      <c r="O636" t="n">
        <v>0</v>
      </c>
      <c r="P636" t="n">
        <v>0</v>
      </c>
      <c r="Q636" t="n">
        <v>0</v>
      </c>
      <c r="R636" s="2" t="inlineStr"/>
    </row>
    <row r="637" ht="15" customHeight="1">
      <c r="A637" t="inlineStr">
        <is>
          <t>A 40660-2018</t>
        </is>
      </c>
      <c r="B637" s="1" t="n">
        <v>43346</v>
      </c>
      <c r="C637" s="1" t="n">
        <v>45227</v>
      </c>
      <c r="D637" t="inlineStr">
        <is>
          <t>VÄSTRA GÖTALANDS LÄN</t>
        </is>
      </c>
      <c r="E637" t="inlineStr">
        <is>
          <t>ULRICEHAMN</t>
        </is>
      </c>
      <c r="G637" t="n">
        <v>7.5</v>
      </c>
      <c r="H637" t="n">
        <v>0</v>
      </c>
      <c r="I637" t="n">
        <v>0</v>
      </c>
      <c r="J637" t="n">
        <v>0</v>
      </c>
      <c r="K637" t="n">
        <v>0</v>
      </c>
      <c r="L637" t="n">
        <v>0</v>
      </c>
      <c r="M637" t="n">
        <v>0</v>
      </c>
      <c r="N637" t="n">
        <v>0</v>
      </c>
      <c r="O637" t="n">
        <v>0</v>
      </c>
      <c r="P637" t="n">
        <v>0</v>
      </c>
      <c r="Q637" t="n">
        <v>0</v>
      </c>
      <c r="R637" s="2" t="inlineStr"/>
    </row>
    <row r="638" ht="15" customHeight="1">
      <c r="A638" t="inlineStr">
        <is>
          <t>A 41162-2018</t>
        </is>
      </c>
      <c r="B638" s="1" t="n">
        <v>43346</v>
      </c>
      <c r="C638" s="1" t="n">
        <v>45227</v>
      </c>
      <c r="D638" t="inlineStr">
        <is>
          <t>VÄSTRA GÖTALANDS LÄN</t>
        </is>
      </c>
      <c r="E638" t="inlineStr">
        <is>
          <t>HERRLJUNGA</t>
        </is>
      </c>
      <c r="G638" t="n">
        <v>1.3</v>
      </c>
      <c r="H638" t="n">
        <v>0</v>
      </c>
      <c r="I638" t="n">
        <v>0</v>
      </c>
      <c r="J638" t="n">
        <v>0</v>
      </c>
      <c r="K638" t="n">
        <v>0</v>
      </c>
      <c r="L638" t="n">
        <v>0</v>
      </c>
      <c r="M638" t="n">
        <v>0</v>
      </c>
      <c r="N638" t="n">
        <v>0</v>
      </c>
      <c r="O638" t="n">
        <v>0</v>
      </c>
      <c r="P638" t="n">
        <v>0</v>
      </c>
      <c r="Q638" t="n">
        <v>0</v>
      </c>
      <c r="R638" s="2" t="inlineStr"/>
    </row>
    <row r="639" ht="15" customHeight="1">
      <c r="A639" t="inlineStr">
        <is>
          <t>A 40496-2018</t>
        </is>
      </c>
      <c r="B639" s="1" t="n">
        <v>43346</v>
      </c>
      <c r="C639" s="1" t="n">
        <v>45227</v>
      </c>
      <c r="D639" t="inlineStr">
        <is>
          <t>VÄSTRA GÖTALANDS LÄN</t>
        </is>
      </c>
      <c r="E639" t="inlineStr">
        <is>
          <t>MARK</t>
        </is>
      </c>
      <c r="G639" t="n">
        <v>4.4</v>
      </c>
      <c r="H639" t="n">
        <v>0</v>
      </c>
      <c r="I639" t="n">
        <v>0</v>
      </c>
      <c r="J639" t="n">
        <v>0</v>
      </c>
      <c r="K639" t="n">
        <v>0</v>
      </c>
      <c r="L639" t="n">
        <v>0</v>
      </c>
      <c r="M639" t="n">
        <v>0</v>
      </c>
      <c r="N639" t="n">
        <v>0</v>
      </c>
      <c r="O639" t="n">
        <v>0</v>
      </c>
      <c r="P639" t="n">
        <v>0</v>
      </c>
      <c r="Q639" t="n">
        <v>0</v>
      </c>
      <c r="R639" s="2" t="inlineStr"/>
    </row>
    <row r="640" ht="15" customHeight="1">
      <c r="A640" t="inlineStr">
        <is>
          <t>A 40633-2018</t>
        </is>
      </c>
      <c r="B640" s="1" t="n">
        <v>43346</v>
      </c>
      <c r="C640" s="1" t="n">
        <v>45227</v>
      </c>
      <c r="D640" t="inlineStr">
        <is>
          <t>VÄSTRA GÖTALANDS LÄN</t>
        </is>
      </c>
      <c r="E640" t="inlineStr">
        <is>
          <t>KUNGÄLV</t>
        </is>
      </c>
      <c r="G640" t="n">
        <v>11.3</v>
      </c>
      <c r="H640" t="n">
        <v>0</v>
      </c>
      <c r="I640" t="n">
        <v>0</v>
      </c>
      <c r="J640" t="n">
        <v>0</v>
      </c>
      <c r="K640" t="n">
        <v>0</v>
      </c>
      <c r="L640" t="n">
        <v>0</v>
      </c>
      <c r="M640" t="n">
        <v>0</v>
      </c>
      <c r="N640" t="n">
        <v>0</v>
      </c>
      <c r="O640" t="n">
        <v>0</v>
      </c>
      <c r="P640" t="n">
        <v>0</v>
      </c>
      <c r="Q640" t="n">
        <v>0</v>
      </c>
      <c r="R640" s="2" t="inlineStr"/>
    </row>
    <row r="641" ht="15" customHeight="1">
      <c r="A641" t="inlineStr">
        <is>
          <t>A 40501-2018</t>
        </is>
      </c>
      <c r="B641" s="1" t="n">
        <v>43346</v>
      </c>
      <c r="C641" s="1" t="n">
        <v>45227</v>
      </c>
      <c r="D641" t="inlineStr">
        <is>
          <t>VÄSTRA GÖTALANDS LÄN</t>
        </is>
      </c>
      <c r="E641" t="inlineStr">
        <is>
          <t>MARK</t>
        </is>
      </c>
      <c r="G641" t="n">
        <v>4.6</v>
      </c>
      <c r="H641" t="n">
        <v>0</v>
      </c>
      <c r="I641" t="n">
        <v>0</v>
      </c>
      <c r="J641" t="n">
        <v>0</v>
      </c>
      <c r="K641" t="n">
        <v>0</v>
      </c>
      <c r="L641" t="n">
        <v>0</v>
      </c>
      <c r="M641" t="n">
        <v>0</v>
      </c>
      <c r="N641" t="n">
        <v>0</v>
      </c>
      <c r="O641" t="n">
        <v>0</v>
      </c>
      <c r="P641" t="n">
        <v>0</v>
      </c>
      <c r="Q641" t="n">
        <v>0</v>
      </c>
      <c r="R641" s="2" t="inlineStr"/>
    </row>
    <row r="642" ht="15" customHeight="1">
      <c r="A642" t="inlineStr">
        <is>
          <t>A 41057-2018</t>
        </is>
      </c>
      <c r="B642" s="1" t="n">
        <v>43346</v>
      </c>
      <c r="C642" s="1" t="n">
        <v>45227</v>
      </c>
      <c r="D642" t="inlineStr">
        <is>
          <t>VÄSTRA GÖTALANDS LÄN</t>
        </is>
      </c>
      <c r="E642" t="inlineStr">
        <is>
          <t>HERRLJUNGA</t>
        </is>
      </c>
      <c r="G642" t="n">
        <v>1.6</v>
      </c>
      <c r="H642" t="n">
        <v>0</v>
      </c>
      <c r="I642" t="n">
        <v>0</v>
      </c>
      <c r="J642" t="n">
        <v>0</v>
      </c>
      <c r="K642" t="n">
        <v>0</v>
      </c>
      <c r="L642" t="n">
        <v>0</v>
      </c>
      <c r="M642" t="n">
        <v>0</v>
      </c>
      <c r="N642" t="n">
        <v>0</v>
      </c>
      <c r="O642" t="n">
        <v>0</v>
      </c>
      <c r="P642" t="n">
        <v>0</v>
      </c>
      <c r="Q642" t="n">
        <v>0</v>
      </c>
      <c r="R642" s="2" t="inlineStr"/>
    </row>
    <row r="643" ht="15" customHeight="1">
      <c r="A643" t="inlineStr">
        <is>
          <t>A 41550-2018</t>
        </is>
      </c>
      <c r="B643" s="1" t="n">
        <v>43347</v>
      </c>
      <c r="C643" s="1" t="n">
        <v>45227</v>
      </c>
      <c r="D643" t="inlineStr">
        <is>
          <t>VÄSTRA GÖTALANDS LÄN</t>
        </is>
      </c>
      <c r="E643" t="inlineStr">
        <is>
          <t>ALINGSÅS</t>
        </is>
      </c>
      <c r="G643" t="n">
        <v>2.3</v>
      </c>
      <c r="H643" t="n">
        <v>0</v>
      </c>
      <c r="I643" t="n">
        <v>0</v>
      </c>
      <c r="J643" t="n">
        <v>0</v>
      </c>
      <c r="K643" t="n">
        <v>0</v>
      </c>
      <c r="L643" t="n">
        <v>0</v>
      </c>
      <c r="M643" t="n">
        <v>0</v>
      </c>
      <c r="N643" t="n">
        <v>0</v>
      </c>
      <c r="O643" t="n">
        <v>0</v>
      </c>
      <c r="P643" t="n">
        <v>0</v>
      </c>
      <c r="Q643" t="n">
        <v>0</v>
      </c>
      <c r="R643" s="2" t="inlineStr"/>
    </row>
    <row r="644" ht="15" customHeight="1">
      <c r="A644" t="inlineStr">
        <is>
          <t>A 40932-2018</t>
        </is>
      </c>
      <c r="B644" s="1" t="n">
        <v>43347</v>
      </c>
      <c r="C644" s="1" t="n">
        <v>45227</v>
      </c>
      <c r="D644" t="inlineStr">
        <is>
          <t>VÄSTRA GÖTALANDS LÄN</t>
        </is>
      </c>
      <c r="E644" t="inlineStr">
        <is>
          <t>FALKÖPING</t>
        </is>
      </c>
      <c r="G644" t="n">
        <v>1.4</v>
      </c>
      <c r="H644" t="n">
        <v>0</v>
      </c>
      <c r="I644" t="n">
        <v>0</v>
      </c>
      <c r="J644" t="n">
        <v>0</v>
      </c>
      <c r="K644" t="n">
        <v>0</v>
      </c>
      <c r="L644" t="n">
        <v>0</v>
      </c>
      <c r="M644" t="n">
        <v>0</v>
      </c>
      <c r="N644" t="n">
        <v>0</v>
      </c>
      <c r="O644" t="n">
        <v>0</v>
      </c>
      <c r="P644" t="n">
        <v>0</v>
      </c>
      <c r="Q644" t="n">
        <v>0</v>
      </c>
      <c r="R644" s="2" t="inlineStr"/>
    </row>
    <row r="645" ht="15" customHeight="1">
      <c r="A645" t="inlineStr">
        <is>
          <t>A 41683-2018</t>
        </is>
      </c>
      <c r="B645" s="1" t="n">
        <v>43347</v>
      </c>
      <c r="C645" s="1" t="n">
        <v>45227</v>
      </c>
      <c r="D645" t="inlineStr">
        <is>
          <t>VÄSTRA GÖTALANDS LÄN</t>
        </is>
      </c>
      <c r="E645" t="inlineStr">
        <is>
          <t>ORUST</t>
        </is>
      </c>
      <c r="G645" t="n">
        <v>8.300000000000001</v>
      </c>
      <c r="H645" t="n">
        <v>0</v>
      </c>
      <c r="I645" t="n">
        <v>0</v>
      </c>
      <c r="J645" t="n">
        <v>0</v>
      </c>
      <c r="K645" t="n">
        <v>0</v>
      </c>
      <c r="L645" t="n">
        <v>0</v>
      </c>
      <c r="M645" t="n">
        <v>0</v>
      </c>
      <c r="N645" t="n">
        <v>0</v>
      </c>
      <c r="O645" t="n">
        <v>0</v>
      </c>
      <c r="P645" t="n">
        <v>0</v>
      </c>
      <c r="Q645" t="n">
        <v>0</v>
      </c>
      <c r="R645" s="2" t="inlineStr"/>
    </row>
    <row r="646" ht="15" customHeight="1">
      <c r="A646" t="inlineStr">
        <is>
          <t>A 41710-2018</t>
        </is>
      </c>
      <c r="B646" s="1" t="n">
        <v>43348</v>
      </c>
      <c r="C646" s="1" t="n">
        <v>45227</v>
      </c>
      <c r="D646" t="inlineStr">
        <is>
          <t>VÄSTRA GÖTALANDS LÄN</t>
        </is>
      </c>
      <c r="E646" t="inlineStr">
        <is>
          <t>BENGTSFORS</t>
        </is>
      </c>
      <c r="G646" t="n">
        <v>0.5</v>
      </c>
      <c r="H646" t="n">
        <v>0</v>
      </c>
      <c r="I646" t="n">
        <v>0</v>
      </c>
      <c r="J646" t="n">
        <v>0</v>
      </c>
      <c r="K646" t="n">
        <v>0</v>
      </c>
      <c r="L646" t="n">
        <v>0</v>
      </c>
      <c r="M646" t="n">
        <v>0</v>
      </c>
      <c r="N646" t="n">
        <v>0</v>
      </c>
      <c r="O646" t="n">
        <v>0</v>
      </c>
      <c r="P646" t="n">
        <v>0</v>
      </c>
      <c r="Q646" t="n">
        <v>0</v>
      </c>
      <c r="R646" s="2" t="inlineStr"/>
    </row>
    <row r="647" ht="15" customHeight="1">
      <c r="A647" t="inlineStr">
        <is>
          <t>A 41264-2018</t>
        </is>
      </c>
      <c r="B647" s="1" t="n">
        <v>43348</v>
      </c>
      <c r="C647" s="1" t="n">
        <v>45227</v>
      </c>
      <c r="D647" t="inlineStr">
        <is>
          <t>VÄSTRA GÖTALANDS LÄN</t>
        </is>
      </c>
      <c r="E647" t="inlineStr">
        <is>
          <t>ULRICEHAMN</t>
        </is>
      </c>
      <c r="G647" t="n">
        <v>15.7</v>
      </c>
      <c r="H647" t="n">
        <v>0</v>
      </c>
      <c r="I647" t="n">
        <v>0</v>
      </c>
      <c r="J647" t="n">
        <v>0</v>
      </c>
      <c r="K647" t="n">
        <v>0</v>
      </c>
      <c r="L647" t="n">
        <v>0</v>
      </c>
      <c r="M647" t="n">
        <v>0</v>
      </c>
      <c r="N647" t="n">
        <v>0</v>
      </c>
      <c r="O647" t="n">
        <v>0</v>
      </c>
      <c r="P647" t="n">
        <v>0</v>
      </c>
      <c r="Q647" t="n">
        <v>0</v>
      </c>
      <c r="R647" s="2" t="inlineStr"/>
    </row>
    <row r="648" ht="15" customHeight="1">
      <c r="A648" t="inlineStr">
        <is>
          <t>A 42067-2018</t>
        </is>
      </c>
      <c r="B648" s="1" t="n">
        <v>43349</v>
      </c>
      <c r="C648" s="1" t="n">
        <v>45227</v>
      </c>
      <c r="D648" t="inlineStr">
        <is>
          <t>VÄSTRA GÖTALANDS LÄN</t>
        </is>
      </c>
      <c r="E648" t="inlineStr">
        <is>
          <t>SKARA</t>
        </is>
      </c>
      <c r="G648" t="n">
        <v>1.5</v>
      </c>
      <c r="H648" t="n">
        <v>0</v>
      </c>
      <c r="I648" t="n">
        <v>0</v>
      </c>
      <c r="J648" t="n">
        <v>0</v>
      </c>
      <c r="K648" t="n">
        <v>0</v>
      </c>
      <c r="L648" t="n">
        <v>0</v>
      </c>
      <c r="M648" t="n">
        <v>0</v>
      </c>
      <c r="N648" t="n">
        <v>0</v>
      </c>
      <c r="O648" t="n">
        <v>0</v>
      </c>
      <c r="P648" t="n">
        <v>0</v>
      </c>
      <c r="Q648" t="n">
        <v>0</v>
      </c>
      <c r="R648" s="2" t="inlineStr"/>
    </row>
    <row r="649" ht="15" customHeight="1">
      <c r="A649" t="inlineStr">
        <is>
          <t>A 41525-2018</t>
        </is>
      </c>
      <c r="B649" s="1" t="n">
        <v>43349</v>
      </c>
      <c r="C649" s="1" t="n">
        <v>45227</v>
      </c>
      <c r="D649" t="inlineStr">
        <is>
          <t>VÄSTRA GÖTALANDS LÄN</t>
        </is>
      </c>
      <c r="E649" t="inlineStr">
        <is>
          <t>HERRLJUNGA</t>
        </is>
      </c>
      <c r="G649" t="n">
        <v>1</v>
      </c>
      <c r="H649" t="n">
        <v>0</v>
      </c>
      <c r="I649" t="n">
        <v>0</v>
      </c>
      <c r="J649" t="n">
        <v>0</v>
      </c>
      <c r="K649" t="n">
        <v>0</v>
      </c>
      <c r="L649" t="n">
        <v>0</v>
      </c>
      <c r="M649" t="n">
        <v>0</v>
      </c>
      <c r="N649" t="n">
        <v>0</v>
      </c>
      <c r="O649" t="n">
        <v>0</v>
      </c>
      <c r="P649" t="n">
        <v>0</v>
      </c>
      <c r="Q649" t="n">
        <v>0</v>
      </c>
      <c r="R649" s="2" t="inlineStr"/>
    </row>
    <row r="650" ht="15" customHeight="1">
      <c r="A650" t="inlineStr">
        <is>
          <t>A 41314-2018</t>
        </is>
      </c>
      <c r="B650" s="1" t="n">
        <v>43349</v>
      </c>
      <c r="C650" s="1" t="n">
        <v>45227</v>
      </c>
      <c r="D650" t="inlineStr">
        <is>
          <t>VÄSTRA GÖTALANDS LÄN</t>
        </is>
      </c>
      <c r="E650" t="inlineStr">
        <is>
          <t>HERRLJUNGA</t>
        </is>
      </c>
      <c r="G650" t="n">
        <v>2.2</v>
      </c>
      <c r="H650" t="n">
        <v>0</v>
      </c>
      <c r="I650" t="n">
        <v>0</v>
      </c>
      <c r="J650" t="n">
        <v>0</v>
      </c>
      <c r="K650" t="n">
        <v>0</v>
      </c>
      <c r="L650" t="n">
        <v>0</v>
      </c>
      <c r="M650" t="n">
        <v>0</v>
      </c>
      <c r="N650" t="n">
        <v>0</v>
      </c>
      <c r="O650" t="n">
        <v>0</v>
      </c>
      <c r="P650" t="n">
        <v>0</v>
      </c>
      <c r="Q650" t="n">
        <v>0</v>
      </c>
      <c r="R650" s="2" t="inlineStr"/>
    </row>
    <row r="651" ht="15" customHeight="1">
      <c r="A651" t="inlineStr">
        <is>
          <t>A 41478-2018</t>
        </is>
      </c>
      <c r="B651" s="1" t="n">
        <v>43349</v>
      </c>
      <c r="C651" s="1" t="n">
        <v>45227</v>
      </c>
      <c r="D651" t="inlineStr">
        <is>
          <t>VÄSTRA GÖTALANDS LÄN</t>
        </is>
      </c>
      <c r="E651" t="inlineStr">
        <is>
          <t>SVENLJUNGA</t>
        </is>
      </c>
      <c r="G651" t="n">
        <v>2.1</v>
      </c>
      <c r="H651" t="n">
        <v>0</v>
      </c>
      <c r="I651" t="n">
        <v>0</v>
      </c>
      <c r="J651" t="n">
        <v>0</v>
      </c>
      <c r="K651" t="n">
        <v>0</v>
      </c>
      <c r="L651" t="n">
        <v>0</v>
      </c>
      <c r="M651" t="n">
        <v>0</v>
      </c>
      <c r="N651" t="n">
        <v>0</v>
      </c>
      <c r="O651" t="n">
        <v>0</v>
      </c>
      <c r="P651" t="n">
        <v>0</v>
      </c>
      <c r="Q651" t="n">
        <v>0</v>
      </c>
      <c r="R651" s="2" t="inlineStr"/>
    </row>
    <row r="652" ht="15" customHeight="1">
      <c r="A652" t="inlineStr">
        <is>
          <t>A 41509-2018</t>
        </is>
      </c>
      <c r="B652" s="1" t="n">
        <v>43349</v>
      </c>
      <c r="C652" s="1" t="n">
        <v>45227</v>
      </c>
      <c r="D652" t="inlineStr">
        <is>
          <t>VÄSTRA GÖTALANDS LÄN</t>
        </is>
      </c>
      <c r="E652" t="inlineStr">
        <is>
          <t>SVENLJUNGA</t>
        </is>
      </c>
      <c r="G652" t="n">
        <v>1.3</v>
      </c>
      <c r="H652" t="n">
        <v>0</v>
      </c>
      <c r="I652" t="n">
        <v>0</v>
      </c>
      <c r="J652" t="n">
        <v>0</v>
      </c>
      <c r="K652" t="n">
        <v>0</v>
      </c>
      <c r="L652" t="n">
        <v>0</v>
      </c>
      <c r="M652" t="n">
        <v>0</v>
      </c>
      <c r="N652" t="n">
        <v>0</v>
      </c>
      <c r="O652" t="n">
        <v>0</v>
      </c>
      <c r="P652" t="n">
        <v>0</v>
      </c>
      <c r="Q652" t="n">
        <v>0</v>
      </c>
      <c r="R652" s="2" t="inlineStr"/>
    </row>
    <row r="653" ht="15" customHeight="1">
      <c r="A653" t="inlineStr">
        <is>
          <t>A 41462-2018</t>
        </is>
      </c>
      <c r="B653" s="1" t="n">
        <v>43349</v>
      </c>
      <c r="C653" s="1" t="n">
        <v>45227</v>
      </c>
      <c r="D653" t="inlineStr">
        <is>
          <t>VÄSTRA GÖTALANDS LÄN</t>
        </is>
      </c>
      <c r="E653" t="inlineStr">
        <is>
          <t>ULRICEHAMN</t>
        </is>
      </c>
      <c r="G653" t="n">
        <v>1.1</v>
      </c>
      <c r="H653" t="n">
        <v>0</v>
      </c>
      <c r="I653" t="n">
        <v>0</v>
      </c>
      <c r="J653" t="n">
        <v>0</v>
      </c>
      <c r="K653" t="n">
        <v>0</v>
      </c>
      <c r="L653" t="n">
        <v>0</v>
      </c>
      <c r="M653" t="n">
        <v>0</v>
      </c>
      <c r="N653" t="n">
        <v>0</v>
      </c>
      <c r="O653" t="n">
        <v>0</v>
      </c>
      <c r="P653" t="n">
        <v>0</v>
      </c>
      <c r="Q653" t="n">
        <v>0</v>
      </c>
      <c r="R653" s="2" t="inlineStr"/>
    </row>
    <row r="654" ht="15" customHeight="1">
      <c r="A654" t="inlineStr">
        <is>
          <t>A 41612-2018</t>
        </is>
      </c>
      <c r="B654" s="1" t="n">
        <v>43349</v>
      </c>
      <c r="C654" s="1" t="n">
        <v>45227</v>
      </c>
      <c r="D654" t="inlineStr">
        <is>
          <t>VÄSTRA GÖTALANDS LÄN</t>
        </is>
      </c>
      <c r="E654" t="inlineStr">
        <is>
          <t>ULRICEHAMN</t>
        </is>
      </c>
      <c r="G654" t="n">
        <v>2</v>
      </c>
      <c r="H654" t="n">
        <v>0</v>
      </c>
      <c r="I654" t="n">
        <v>0</v>
      </c>
      <c r="J654" t="n">
        <v>0</v>
      </c>
      <c r="K654" t="n">
        <v>0</v>
      </c>
      <c r="L654" t="n">
        <v>0</v>
      </c>
      <c r="M654" t="n">
        <v>0</v>
      </c>
      <c r="N654" t="n">
        <v>0</v>
      </c>
      <c r="O654" t="n">
        <v>0</v>
      </c>
      <c r="P654" t="n">
        <v>0</v>
      </c>
      <c r="Q654" t="n">
        <v>0</v>
      </c>
      <c r="R654" s="2" t="inlineStr"/>
    </row>
    <row r="655" ht="15" customHeight="1">
      <c r="A655" t="inlineStr">
        <is>
          <t>A 42310-2018</t>
        </is>
      </c>
      <c r="B655" s="1" t="n">
        <v>43349</v>
      </c>
      <c r="C655" s="1" t="n">
        <v>45227</v>
      </c>
      <c r="D655" t="inlineStr">
        <is>
          <t>VÄSTRA GÖTALANDS LÄN</t>
        </is>
      </c>
      <c r="E655" t="inlineStr">
        <is>
          <t>LILLA EDET</t>
        </is>
      </c>
      <c r="F655" t="inlineStr">
        <is>
          <t>Kyrkan</t>
        </is>
      </c>
      <c r="G655" t="n">
        <v>2.1</v>
      </c>
      <c r="H655" t="n">
        <v>0</v>
      </c>
      <c r="I655" t="n">
        <v>0</v>
      </c>
      <c r="J655" t="n">
        <v>0</v>
      </c>
      <c r="K655" t="n">
        <v>0</v>
      </c>
      <c r="L655" t="n">
        <v>0</v>
      </c>
      <c r="M655" t="n">
        <v>0</v>
      </c>
      <c r="N655" t="n">
        <v>0</v>
      </c>
      <c r="O655" t="n">
        <v>0</v>
      </c>
      <c r="P655" t="n">
        <v>0</v>
      </c>
      <c r="Q655" t="n">
        <v>0</v>
      </c>
      <c r="R655" s="2" t="inlineStr"/>
    </row>
    <row r="656" ht="15" customHeight="1">
      <c r="A656" t="inlineStr">
        <is>
          <t>A 42585-2018</t>
        </is>
      </c>
      <c r="B656" s="1" t="n">
        <v>43350</v>
      </c>
      <c r="C656" s="1" t="n">
        <v>45227</v>
      </c>
      <c r="D656" t="inlineStr">
        <is>
          <t>VÄSTRA GÖTALANDS LÄN</t>
        </is>
      </c>
      <c r="E656" t="inlineStr">
        <is>
          <t>DALS-ED</t>
        </is>
      </c>
      <c r="G656" t="n">
        <v>2.1</v>
      </c>
      <c r="H656" t="n">
        <v>0</v>
      </c>
      <c r="I656" t="n">
        <v>0</v>
      </c>
      <c r="J656" t="n">
        <v>0</v>
      </c>
      <c r="K656" t="n">
        <v>0</v>
      </c>
      <c r="L656" t="n">
        <v>0</v>
      </c>
      <c r="M656" t="n">
        <v>0</v>
      </c>
      <c r="N656" t="n">
        <v>0</v>
      </c>
      <c r="O656" t="n">
        <v>0</v>
      </c>
      <c r="P656" t="n">
        <v>0</v>
      </c>
      <c r="Q656" t="n">
        <v>0</v>
      </c>
      <c r="R656" s="2" t="inlineStr"/>
    </row>
    <row r="657" ht="15" customHeight="1">
      <c r="A657" t="inlineStr">
        <is>
          <t>A 42221-2018</t>
        </is>
      </c>
      <c r="B657" s="1" t="n">
        <v>43353</v>
      </c>
      <c r="C657" s="1" t="n">
        <v>45227</v>
      </c>
      <c r="D657" t="inlineStr">
        <is>
          <t>VÄSTRA GÖTALANDS LÄN</t>
        </is>
      </c>
      <c r="E657" t="inlineStr">
        <is>
          <t>ULRICEHAMN</t>
        </is>
      </c>
      <c r="G657" t="n">
        <v>6.8</v>
      </c>
      <c r="H657" t="n">
        <v>0</v>
      </c>
      <c r="I657" t="n">
        <v>0</v>
      </c>
      <c r="J657" t="n">
        <v>0</v>
      </c>
      <c r="K657" t="n">
        <v>0</v>
      </c>
      <c r="L657" t="n">
        <v>0</v>
      </c>
      <c r="M657" t="n">
        <v>0</v>
      </c>
      <c r="N657" t="n">
        <v>0</v>
      </c>
      <c r="O657" t="n">
        <v>0</v>
      </c>
      <c r="P657" t="n">
        <v>0</v>
      </c>
      <c r="Q657" t="n">
        <v>0</v>
      </c>
      <c r="R657" s="2" t="inlineStr"/>
    </row>
    <row r="658" ht="15" customHeight="1">
      <c r="A658" t="inlineStr">
        <is>
          <t>A 43054-2018</t>
        </is>
      </c>
      <c r="B658" s="1" t="n">
        <v>43353</v>
      </c>
      <c r="C658" s="1" t="n">
        <v>45227</v>
      </c>
      <c r="D658" t="inlineStr">
        <is>
          <t>VÄSTRA GÖTALANDS LÄN</t>
        </is>
      </c>
      <c r="E658" t="inlineStr">
        <is>
          <t>BENGTSFORS</t>
        </is>
      </c>
      <c r="G658" t="n">
        <v>3.9</v>
      </c>
      <c r="H658" t="n">
        <v>0</v>
      </c>
      <c r="I658" t="n">
        <v>0</v>
      </c>
      <c r="J658" t="n">
        <v>0</v>
      </c>
      <c r="K658" t="n">
        <v>0</v>
      </c>
      <c r="L658" t="n">
        <v>0</v>
      </c>
      <c r="M658" t="n">
        <v>0</v>
      </c>
      <c r="N658" t="n">
        <v>0</v>
      </c>
      <c r="O658" t="n">
        <v>0</v>
      </c>
      <c r="P658" t="n">
        <v>0</v>
      </c>
      <c r="Q658" t="n">
        <v>0</v>
      </c>
      <c r="R658" s="2" t="inlineStr"/>
    </row>
    <row r="659" ht="15" customHeight="1">
      <c r="A659" t="inlineStr">
        <is>
          <t>A 42123-2018</t>
        </is>
      </c>
      <c r="B659" s="1" t="n">
        <v>43353</v>
      </c>
      <c r="C659" s="1" t="n">
        <v>45227</v>
      </c>
      <c r="D659" t="inlineStr">
        <is>
          <t>VÄSTRA GÖTALANDS LÄN</t>
        </is>
      </c>
      <c r="E659" t="inlineStr">
        <is>
          <t>TÖREBODA</t>
        </is>
      </c>
      <c r="G659" t="n">
        <v>2.5</v>
      </c>
      <c r="H659" t="n">
        <v>0</v>
      </c>
      <c r="I659" t="n">
        <v>0</v>
      </c>
      <c r="J659" t="n">
        <v>0</v>
      </c>
      <c r="K659" t="n">
        <v>0</v>
      </c>
      <c r="L659" t="n">
        <v>0</v>
      </c>
      <c r="M659" t="n">
        <v>0</v>
      </c>
      <c r="N659" t="n">
        <v>0</v>
      </c>
      <c r="O659" t="n">
        <v>0</v>
      </c>
      <c r="P659" t="n">
        <v>0</v>
      </c>
      <c r="Q659" t="n">
        <v>0</v>
      </c>
      <c r="R659" s="2" t="inlineStr"/>
    </row>
    <row r="660" ht="15" customHeight="1">
      <c r="A660" t="inlineStr">
        <is>
          <t>A 42341-2018</t>
        </is>
      </c>
      <c r="B660" s="1" t="n">
        <v>43353</v>
      </c>
      <c r="C660" s="1" t="n">
        <v>45227</v>
      </c>
      <c r="D660" t="inlineStr">
        <is>
          <t>VÄSTRA GÖTALANDS LÄN</t>
        </is>
      </c>
      <c r="E660" t="inlineStr">
        <is>
          <t>MARK</t>
        </is>
      </c>
      <c r="G660" t="n">
        <v>2.1</v>
      </c>
      <c r="H660" t="n">
        <v>0</v>
      </c>
      <c r="I660" t="n">
        <v>0</v>
      </c>
      <c r="J660" t="n">
        <v>0</v>
      </c>
      <c r="K660" t="n">
        <v>0</v>
      </c>
      <c r="L660" t="n">
        <v>0</v>
      </c>
      <c r="M660" t="n">
        <v>0</v>
      </c>
      <c r="N660" t="n">
        <v>0</v>
      </c>
      <c r="O660" t="n">
        <v>0</v>
      </c>
      <c r="P660" t="n">
        <v>0</v>
      </c>
      <c r="Q660" t="n">
        <v>0</v>
      </c>
      <c r="R660" s="2" t="inlineStr"/>
    </row>
    <row r="661" ht="15" customHeight="1">
      <c r="A661" t="inlineStr">
        <is>
          <t>A 42282-2018</t>
        </is>
      </c>
      <c r="B661" s="1" t="n">
        <v>43353</v>
      </c>
      <c r="C661" s="1" t="n">
        <v>45227</v>
      </c>
      <c r="D661" t="inlineStr">
        <is>
          <t>VÄSTRA GÖTALANDS LÄN</t>
        </is>
      </c>
      <c r="E661" t="inlineStr">
        <is>
          <t>TRANEMO</t>
        </is>
      </c>
      <c r="G661" t="n">
        <v>1</v>
      </c>
      <c r="H661" t="n">
        <v>0</v>
      </c>
      <c r="I661" t="n">
        <v>0</v>
      </c>
      <c r="J661" t="n">
        <v>0</v>
      </c>
      <c r="K661" t="n">
        <v>0</v>
      </c>
      <c r="L661" t="n">
        <v>0</v>
      </c>
      <c r="M661" t="n">
        <v>0</v>
      </c>
      <c r="N661" t="n">
        <v>0</v>
      </c>
      <c r="O661" t="n">
        <v>0</v>
      </c>
      <c r="P661" t="n">
        <v>0</v>
      </c>
      <c r="Q661" t="n">
        <v>0</v>
      </c>
      <c r="R661" s="2" t="inlineStr"/>
    </row>
    <row r="662" ht="15" customHeight="1">
      <c r="A662" t="inlineStr">
        <is>
          <t>A 43203-2018</t>
        </is>
      </c>
      <c r="B662" s="1" t="n">
        <v>43353</v>
      </c>
      <c r="C662" s="1" t="n">
        <v>45227</v>
      </c>
      <c r="D662" t="inlineStr">
        <is>
          <t>VÄSTRA GÖTALANDS LÄN</t>
        </is>
      </c>
      <c r="E662" t="inlineStr">
        <is>
          <t>GULLSPÅNG</t>
        </is>
      </c>
      <c r="G662" t="n">
        <v>3.6</v>
      </c>
      <c r="H662" t="n">
        <v>0</v>
      </c>
      <c r="I662" t="n">
        <v>0</v>
      </c>
      <c r="J662" t="n">
        <v>0</v>
      </c>
      <c r="K662" t="n">
        <v>0</v>
      </c>
      <c r="L662" t="n">
        <v>0</v>
      </c>
      <c r="M662" t="n">
        <v>0</v>
      </c>
      <c r="N662" t="n">
        <v>0</v>
      </c>
      <c r="O662" t="n">
        <v>0</v>
      </c>
      <c r="P662" t="n">
        <v>0</v>
      </c>
      <c r="Q662" t="n">
        <v>0</v>
      </c>
      <c r="R662" s="2" t="inlineStr"/>
    </row>
    <row r="663" ht="15" customHeight="1">
      <c r="A663" t="inlineStr">
        <is>
          <t>A 43337-2018</t>
        </is>
      </c>
      <c r="B663" s="1" t="n">
        <v>43353</v>
      </c>
      <c r="C663" s="1" t="n">
        <v>45227</v>
      </c>
      <c r="D663" t="inlineStr">
        <is>
          <t>VÄSTRA GÖTALANDS LÄN</t>
        </is>
      </c>
      <c r="E663" t="inlineStr">
        <is>
          <t>LIDKÖPING</t>
        </is>
      </c>
      <c r="G663" t="n">
        <v>3.9</v>
      </c>
      <c r="H663" t="n">
        <v>0</v>
      </c>
      <c r="I663" t="n">
        <v>0</v>
      </c>
      <c r="J663" t="n">
        <v>0</v>
      </c>
      <c r="K663" t="n">
        <v>0</v>
      </c>
      <c r="L663" t="n">
        <v>0</v>
      </c>
      <c r="M663" t="n">
        <v>0</v>
      </c>
      <c r="N663" t="n">
        <v>0</v>
      </c>
      <c r="O663" t="n">
        <v>0</v>
      </c>
      <c r="P663" t="n">
        <v>0</v>
      </c>
      <c r="Q663" t="n">
        <v>0</v>
      </c>
      <c r="R663" s="2" t="inlineStr"/>
    </row>
    <row r="664" ht="15" customHeight="1">
      <c r="A664" t="inlineStr">
        <is>
          <t>A 42217-2018</t>
        </is>
      </c>
      <c r="B664" s="1" t="n">
        <v>43353</v>
      </c>
      <c r="C664" s="1" t="n">
        <v>45227</v>
      </c>
      <c r="D664" t="inlineStr">
        <is>
          <t>VÄSTRA GÖTALANDS LÄN</t>
        </is>
      </c>
      <c r="E664" t="inlineStr">
        <is>
          <t>BORÅS</t>
        </is>
      </c>
      <c r="G664" t="n">
        <v>1.4</v>
      </c>
      <c r="H664" t="n">
        <v>0</v>
      </c>
      <c r="I664" t="n">
        <v>0</v>
      </c>
      <c r="J664" t="n">
        <v>0</v>
      </c>
      <c r="K664" t="n">
        <v>0</v>
      </c>
      <c r="L664" t="n">
        <v>0</v>
      </c>
      <c r="M664" t="n">
        <v>0</v>
      </c>
      <c r="N664" t="n">
        <v>0</v>
      </c>
      <c r="O664" t="n">
        <v>0</v>
      </c>
      <c r="P664" t="n">
        <v>0</v>
      </c>
      <c r="Q664" t="n">
        <v>0</v>
      </c>
      <c r="R664" s="2" t="inlineStr"/>
    </row>
    <row r="665" ht="15" customHeight="1">
      <c r="A665" t="inlineStr">
        <is>
          <t>A 42769-2018</t>
        </is>
      </c>
      <c r="B665" s="1" t="n">
        <v>43353</v>
      </c>
      <c r="C665" s="1" t="n">
        <v>45227</v>
      </c>
      <c r="D665" t="inlineStr">
        <is>
          <t>VÄSTRA GÖTALANDS LÄN</t>
        </is>
      </c>
      <c r="E665" t="inlineStr">
        <is>
          <t>BENGTSFORS</t>
        </is>
      </c>
      <c r="G665" t="n">
        <v>3.2</v>
      </c>
      <c r="H665" t="n">
        <v>0</v>
      </c>
      <c r="I665" t="n">
        <v>0</v>
      </c>
      <c r="J665" t="n">
        <v>0</v>
      </c>
      <c r="K665" t="n">
        <v>0</v>
      </c>
      <c r="L665" t="n">
        <v>0</v>
      </c>
      <c r="M665" t="n">
        <v>0</v>
      </c>
      <c r="N665" t="n">
        <v>0</v>
      </c>
      <c r="O665" t="n">
        <v>0</v>
      </c>
      <c r="P665" t="n">
        <v>0</v>
      </c>
      <c r="Q665" t="n">
        <v>0</v>
      </c>
      <c r="R665" s="2" t="inlineStr"/>
    </row>
    <row r="666" ht="15" customHeight="1">
      <c r="A666" t="inlineStr">
        <is>
          <t>A 43207-2018</t>
        </is>
      </c>
      <c r="B666" s="1" t="n">
        <v>43353</v>
      </c>
      <c r="C666" s="1" t="n">
        <v>45227</v>
      </c>
      <c r="D666" t="inlineStr">
        <is>
          <t>VÄSTRA GÖTALANDS LÄN</t>
        </is>
      </c>
      <c r="E666" t="inlineStr">
        <is>
          <t>BENGTSFORS</t>
        </is>
      </c>
      <c r="G666" t="n">
        <v>8.699999999999999</v>
      </c>
      <c r="H666" t="n">
        <v>0</v>
      </c>
      <c r="I666" t="n">
        <v>0</v>
      </c>
      <c r="J666" t="n">
        <v>0</v>
      </c>
      <c r="K666" t="n">
        <v>0</v>
      </c>
      <c r="L666" t="n">
        <v>0</v>
      </c>
      <c r="M666" t="n">
        <v>0</v>
      </c>
      <c r="N666" t="n">
        <v>0</v>
      </c>
      <c r="O666" t="n">
        <v>0</v>
      </c>
      <c r="P666" t="n">
        <v>0</v>
      </c>
      <c r="Q666" t="n">
        <v>0</v>
      </c>
      <c r="R666" s="2" t="inlineStr"/>
    </row>
    <row r="667" ht="15" customHeight="1">
      <c r="A667" t="inlineStr">
        <is>
          <t>A 43333-2018</t>
        </is>
      </c>
      <c r="B667" s="1" t="n">
        <v>43353</v>
      </c>
      <c r="C667" s="1" t="n">
        <v>45227</v>
      </c>
      <c r="D667" t="inlineStr">
        <is>
          <t>VÄSTRA GÖTALANDS LÄN</t>
        </is>
      </c>
      <c r="E667" t="inlineStr">
        <is>
          <t>SVENLJUNGA</t>
        </is>
      </c>
      <c r="G667" t="n">
        <v>1.1</v>
      </c>
      <c r="H667" t="n">
        <v>0</v>
      </c>
      <c r="I667" t="n">
        <v>0</v>
      </c>
      <c r="J667" t="n">
        <v>0</v>
      </c>
      <c r="K667" t="n">
        <v>0</v>
      </c>
      <c r="L667" t="n">
        <v>0</v>
      </c>
      <c r="M667" t="n">
        <v>0</v>
      </c>
      <c r="N667" t="n">
        <v>0</v>
      </c>
      <c r="O667" t="n">
        <v>0</v>
      </c>
      <c r="P667" t="n">
        <v>0</v>
      </c>
      <c r="Q667" t="n">
        <v>0</v>
      </c>
      <c r="R667" s="2" t="inlineStr"/>
    </row>
    <row r="668" ht="15" customHeight="1">
      <c r="A668" t="inlineStr">
        <is>
          <t>A 43625-2018</t>
        </is>
      </c>
      <c r="B668" s="1" t="n">
        <v>43354</v>
      </c>
      <c r="C668" s="1" t="n">
        <v>45227</v>
      </c>
      <c r="D668" t="inlineStr">
        <is>
          <t>VÄSTRA GÖTALANDS LÄN</t>
        </is>
      </c>
      <c r="E668" t="inlineStr">
        <is>
          <t>GÖTENE</t>
        </is>
      </c>
      <c r="G668" t="n">
        <v>1.6</v>
      </c>
      <c r="H668" t="n">
        <v>0</v>
      </c>
      <c r="I668" t="n">
        <v>0</v>
      </c>
      <c r="J668" t="n">
        <v>0</v>
      </c>
      <c r="K668" t="n">
        <v>0</v>
      </c>
      <c r="L668" t="n">
        <v>0</v>
      </c>
      <c r="M668" t="n">
        <v>0</v>
      </c>
      <c r="N668" t="n">
        <v>0</v>
      </c>
      <c r="O668" t="n">
        <v>0</v>
      </c>
      <c r="P668" t="n">
        <v>0</v>
      </c>
      <c r="Q668" t="n">
        <v>0</v>
      </c>
      <c r="R668" s="2" t="inlineStr"/>
    </row>
    <row r="669" ht="15" customHeight="1">
      <c r="A669" t="inlineStr">
        <is>
          <t>A 44075-2018</t>
        </is>
      </c>
      <c r="B669" s="1" t="n">
        <v>43355</v>
      </c>
      <c r="C669" s="1" t="n">
        <v>45227</v>
      </c>
      <c r="D669" t="inlineStr">
        <is>
          <t>VÄSTRA GÖTALANDS LÄN</t>
        </is>
      </c>
      <c r="E669" t="inlineStr">
        <is>
          <t>TRANEMO</t>
        </is>
      </c>
      <c r="G669" t="n">
        <v>1.2</v>
      </c>
      <c r="H669" t="n">
        <v>0</v>
      </c>
      <c r="I669" t="n">
        <v>0</v>
      </c>
      <c r="J669" t="n">
        <v>0</v>
      </c>
      <c r="K669" t="n">
        <v>0</v>
      </c>
      <c r="L669" t="n">
        <v>0</v>
      </c>
      <c r="M669" t="n">
        <v>0</v>
      </c>
      <c r="N669" t="n">
        <v>0</v>
      </c>
      <c r="O669" t="n">
        <v>0</v>
      </c>
      <c r="P669" t="n">
        <v>0</v>
      </c>
      <c r="Q669" t="n">
        <v>0</v>
      </c>
      <c r="R669" s="2" t="inlineStr"/>
    </row>
    <row r="670" ht="15" customHeight="1">
      <c r="A670" t="inlineStr">
        <is>
          <t>A 43137-2018</t>
        </is>
      </c>
      <c r="B670" s="1" t="n">
        <v>43355</v>
      </c>
      <c r="C670" s="1" t="n">
        <v>45227</v>
      </c>
      <c r="D670" t="inlineStr">
        <is>
          <t>VÄSTRA GÖTALANDS LÄN</t>
        </is>
      </c>
      <c r="E670" t="inlineStr">
        <is>
          <t>TRANEMO</t>
        </is>
      </c>
      <c r="G670" t="n">
        <v>3.1</v>
      </c>
      <c r="H670" t="n">
        <v>0</v>
      </c>
      <c r="I670" t="n">
        <v>0</v>
      </c>
      <c r="J670" t="n">
        <v>0</v>
      </c>
      <c r="K670" t="n">
        <v>0</v>
      </c>
      <c r="L670" t="n">
        <v>0</v>
      </c>
      <c r="M670" t="n">
        <v>0</v>
      </c>
      <c r="N670" t="n">
        <v>0</v>
      </c>
      <c r="O670" t="n">
        <v>0</v>
      </c>
      <c r="P670" t="n">
        <v>0</v>
      </c>
      <c r="Q670" t="n">
        <v>0</v>
      </c>
      <c r="R670" s="2" t="inlineStr"/>
    </row>
    <row r="671" ht="15" customHeight="1">
      <c r="A671" t="inlineStr">
        <is>
          <t>A 43328-2018</t>
        </is>
      </c>
      <c r="B671" s="1" t="n">
        <v>43356</v>
      </c>
      <c r="C671" s="1" t="n">
        <v>45227</v>
      </c>
      <c r="D671" t="inlineStr">
        <is>
          <t>VÄSTRA GÖTALANDS LÄN</t>
        </is>
      </c>
      <c r="E671" t="inlineStr">
        <is>
          <t>TRANEMO</t>
        </is>
      </c>
      <c r="G671" t="n">
        <v>2</v>
      </c>
      <c r="H671" t="n">
        <v>0</v>
      </c>
      <c r="I671" t="n">
        <v>0</v>
      </c>
      <c r="J671" t="n">
        <v>0</v>
      </c>
      <c r="K671" t="n">
        <v>0</v>
      </c>
      <c r="L671" t="n">
        <v>0</v>
      </c>
      <c r="M671" t="n">
        <v>0</v>
      </c>
      <c r="N671" t="n">
        <v>0</v>
      </c>
      <c r="O671" t="n">
        <v>0</v>
      </c>
      <c r="P671" t="n">
        <v>0</v>
      </c>
      <c r="Q671" t="n">
        <v>0</v>
      </c>
      <c r="R671" s="2" t="inlineStr"/>
    </row>
    <row r="672" ht="15" customHeight="1">
      <c r="A672" t="inlineStr">
        <is>
          <t>A 44620-2018</t>
        </is>
      </c>
      <c r="B672" s="1" t="n">
        <v>43356</v>
      </c>
      <c r="C672" s="1" t="n">
        <v>45227</v>
      </c>
      <c r="D672" t="inlineStr">
        <is>
          <t>VÄSTRA GÖTALANDS LÄN</t>
        </is>
      </c>
      <c r="E672" t="inlineStr">
        <is>
          <t>TÖREBODA</t>
        </is>
      </c>
      <c r="G672" t="n">
        <v>0.6</v>
      </c>
      <c r="H672" t="n">
        <v>0</v>
      </c>
      <c r="I672" t="n">
        <v>0</v>
      </c>
      <c r="J672" t="n">
        <v>0</v>
      </c>
      <c r="K672" t="n">
        <v>0</v>
      </c>
      <c r="L672" t="n">
        <v>0</v>
      </c>
      <c r="M672" t="n">
        <v>0</v>
      </c>
      <c r="N672" t="n">
        <v>0</v>
      </c>
      <c r="O672" t="n">
        <v>0</v>
      </c>
      <c r="P672" t="n">
        <v>0</v>
      </c>
      <c r="Q672" t="n">
        <v>0</v>
      </c>
      <c r="R672" s="2" t="inlineStr"/>
    </row>
    <row r="673" ht="15" customHeight="1">
      <c r="A673" t="inlineStr">
        <is>
          <t>A 45326-2018</t>
        </is>
      </c>
      <c r="B673" s="1" t="n">
        <v>43356</v>
      </c>
      <c r="C673" s="1" t="n">
        <v>45227</v>
      </c>
      <c r="D673" t="inlineStr">
        <is>
          <t>VÄSTRA GÖTALANDS LÄN</t>
        </is>
      </c>
      <c r="E673" t="inlineStr">
        <is>
          <t>TANUM</t>
        </is>
      </c>
      <c r="G673" t="n">
        <v>0.6</v>
      </c>
      <c r="H673" t="n">
        <v>0</v>
      </c>
      <c r="I673" t="n">
        <v>0</v>
      </c>
      <c r="J673" t="n">
        <v>0</v>
      </c>
      <c r="K673" t="n">
        <v>0</v>
      </c>
      <c r="L673" t="n">
        <v>0</v>
      </c>
      <c r="M673" t="n">
        <v>0</v>
      </c>
      <c r="N673" t="n">
        <v>0</v>
      </c>
      <c r="O673" t="n">
        <v>0</v>
      </c>
      <c r="P673" t="n">
        <v>0</v>
      </c>
      <c r="Q673" t="n">
        <v>0</v>
      </c>
      <c r="R673" s="2" t="inlineStr"/>
    </row>
    <row r="674" ht="15" customHeight="1">
      <c r="A674" t="inlineStr">
        <is>
          <t>A 45401-2018</t>
        </is>
      </c>
      <c r="B674" s="1" t="n">
        <v>43356</v>
      </c>
      <c r="C674" s="1" t="n">
        <v>45227</v>
      </c>
      <c r="D674" t="inlineStr">
        <is>
          <t>VÄSTRA GÖTALANDS LÄN</t>
        </is>
      </c>
      <c r="E674" t="inlineStr">
        <is>
          <t>TANUM</t>
        </is>
      </c>
      <c r="G674" t="n">
        <v>6.4</v>
      </c>
      <c r="H674" t="n">
        <v>0</v>
      </c>
      <c r="I674" t="n">
        <v>0</v>
      </c>
      <c r="J674" t="n">
        <v>0</v>
      </c>
      <c r="K674" t="n">
        <v>0</v>
      </c>
      <c r="L674" t="n">
        <v>0</v>
      </c>
      <c r="M674" t="n">
        <v>0</v>
      </c>
      <c r="N674" t="n">
        <v>0</v>
      </c>
      <c r="O674" t="n">
        <v>0</v>
      </c>
      <c r="P674" t="n">
        <v>0</v>
      </c>
      <c r="Q674" t="n">
        <v>0</v>
      </c>
      <c r="R674" s="2" t="inlineStr"/>
    </row>
    <row r="675" ht="15" customHeight="1">
      <c r="A675" t="inlineStr">
        <is>
          <t>A 43398-2018</t>
        </is>
      </c>
      <c r="B675" s="1" t="n">
        <v>43356</v>
      </c>
      <c r="C675" s="1" t="n">
        <v>45227</v>
      </c>
      <c r="D675" t="inlineStr">
        <is>
          <t>VÄSTRA GÖTALANDS LÄN</t>
        </is>
      </c>
      <c r="E675" t="inlineStr">
        <is>
          <t>MARK</t>
        </is>
      </c>
      <c r="G675" t="n">
        <v>0.5</v>
      </c>
      <c r="H675" t="n">
        <v>0</v>
      </c>
      <c r="I675" t="n">
        <v>0</v>
      </c>
      <c r="J675" t="n">
        <v>0</v>
      </c>
      <c r="K675" t="n">
        <v>0</v>
      </c>
      <c r="L675" t="n">
        <v>0</v>
      </c>
      <c r="M675" t="n">
        <v>0</v>
      </c>
      <c r="N675" t="n">
        <v>0</v>
      </c>
      <c r="O675" t="n">
        <v>0</v>
      </c>
      <c r="P675" t="n">
        <v>0</v>
      </c>
      <c r="Q675" t="n">
        <v>0</v>
      </c>
      <c r="R675" s="2" t="inlineStr"/>
    </row>
    <row r="676" ht="15" customHeight="1">
      <c r="A676" t="inlineStr">
        <is>
          <t>A 45369-2018</t>
        </is>
      </c>
      <c r="B676" s="1" t="n">
        <v>43356</v>
      </c>
      <c r="C676" s="1" t="n">
        <v>45227</v>
      </c>
      <c r="D676" t="inlineStr">
        <is>
          <t>VÄSTRA GÖTALANDS LÄN</t>
        </is>
      </c>
      <c r="E676" t="inlineStr">
        <is>
          <t>TANUM</t>
        </is>
      </c>
      <c r="G676" t="n">
        <v>3.7</v>
      </c>
      <c r="H676" t="n">
        <v>0</v>
      </c>
      <c r="I676" t="n">
        <v>0</v>
      </c>
      <c r="J676" t="n">
        <v>0</v>
      </c>
      <c r="K676" t="n">
        <v>0</v>
      </c>
      <c r="L676" t="n">
        <v>0</v>
      </c>
      <c r="M676" t="n">
        <v>0</v>
      </c>
      <c r="N676" t="n">
        <v>0</v>
      </c>
      <c r="O676" t="n">
        <v>0</v>
      </c>
      <c r="P676" t="n">
        <v>0</v>
      </c>
      <c r="Q676" t="n">
        <v>0</v>
      </c>
      <c r="R676" s="2" t="inlineStr"/>
    </row>
    <row r="677" ht="15" customHeight="1">
      <c r="A677" t="inlineStr">
        <is>
          <t>A 44628-2018</t>
        </is>
      </c>
      <c r="B677" s="1" t="n">
        <v>43356</v>
      </c>
      <c r="C677" s="1" t="n">
        <v>45227</v>
      </c>
      <c r="D677" t="inlineStr">
        <is>
          <t>VÄSTRA GÖTALANDS LÄN</t>
        </is>
      </c>
      <c r="E677" t="inlineStr">
        <is>
          <t>MARK</t>
        </is>
      </c>
      <c r="G677" t="n">
        <v>1.9</v>
      </c>
      <c r="H677" t="n">
        <v>0</v>
      </c>
      <c r="I677" t="n">
        <v>0</v>
      </c>
      <c r="J677" t="n">
        <v>0</v>
      </c>
      <c r="K677" t="n">
        <v>0</v>
      </c>
      <c r="L677" t="n">
        <v>0</v>
      </c>
      <c r="M677" t="n">
        <v>0</v>
      </c>
      <c r="N677" t="n">
        <v>0</v>
      </c>
      <c r="O677" t="n">
        <v>0</v>
      </c>
      <c r="P677" t="n">
        <v>0</v>
      </c>
      <c r="Q677" t="n">
        <v>0</v>
      </c>
      <c r="R677" s="2" t="inlineStr"/>
    </row>
    <row r="678" ht="15" customHeight="1">
      <c r="A678" t="inlineStr">
        <is>
          <t>A 45341-2018</t>
        </is>
      </c>
      <c r="B678" s="1" t="n">
        <v>43356</v>
      </c>
      <c r="C678" s="1" t="n">
        <v>45227</v>
      </c>
      <c r="D678" t="inlineStr">
        <is>
          <t>VÄSTRA GÖTALANDS LÄN</t>
        </is>
      </c>
      <c r="E678" t="inlineStr">
        <is>
          <t>TANUM</t>
        </is>
      </c>
      <c r="G678" t="n">
        <v>0.7</v>
      </c>
      <c r="H678" t="n">
        <v>0</v>
      </c>
      <c r="I678" t="n">
        <v>0</v>
      </c>
      <c r="J678" t="n">
        <v>0</v>
      </c>
      <c r="K678" t="n">
        <v>0</v>
      </c>
      <c r="L678" t="n">
        <v>0</v>
      </c>
      <c r="M678" t="n">
        <v>0</v>
      </c>
      <c r="N678" t="n">
        <v>0</v>
      </c>
      <c r="O678" t="n">
        <v>0</v>
      </c>
      <c r="P678" t="n">
        <v>0</v>
      </c>
      <c r="Q678" t="n">
        <v>0</v>
      </c>
      <c r="R678" s="2" t="inlineStr"/>
    </row>
    <row r="679" ht="15" customHeight="1">
      <c r="A679" t="inlineStr">
        <is>
          <t>A 45424-2018</t>
        </is>
      </c>
      <c r="B679" s="1" t="n">
        <v>43356</v>
      </c>
      <c r="C679" s="1" t="n">
        <v>45227</v>
      </c>
      <c r="D679" t="inlineStr">
        <is>
          <t>VÄSTRA GÖTALANDS LÄN</t>
        </is>
      </c>
      <c r="E679" t="inlineStr">
        <is>
          <t>TANUM</t>
        </is>
      </c>
      <c r="G679" t="n">
        <v>10.7</v>
      </c>
      <c r="H679" t="n">
        <v>0</v>
      </c>
      <c r="I679" t="n">
        <v>0</v>
      </c>
      <c r="J679" t="n">
        <v>0</v>
      </c>
      <c r="K679" t="n">
        <v>0</v>
      </c>
      <c r="L679" t="n">
        <v>0</v>
      </c>
      <c r="M679" t="n">
        <v>0</v>
      </c>
      <c r="N679" t="n">
        <v>0</v>
      </c>
      <c r="O679" t="n">
        <v>0</v>
      </c>
      <c r="P679" t="n">
        <v>0</v>
      </c>
      <c r="Q679" t="n">
        <v>0</v>
      </c>
      <c r="R679" s="2" t="inlineStr"/>
    </row>
    <row r="680" ht="15" customHeight="1">
      <c r="A680" t="inlineStr">
        <is>
          <t>A 43304-2018</t>
        </is>
      </c>
      <c r="B680" s="1" t="n">
        <v>43356</v>
      </c>
      <c r="C680" s="1" t="n">
        <v>45227</v>
      </c>
      <c r="D680" t="inlineStr">
        <is>
          <t>VÄSTRA GÖTALANDS LÄN</t>
        </is>
      </c>
      <c r="E680" t="inlineStr">
        <is>
          <t>TRANEMO</t>
        </is>
      </c>
      <c r="G680" t="n">
        <v>9.4</v>
      </c>
      <c r="H680" t="n">
        <v>0</v>
      </c>
      <c r="I680" t="n">
        <v>0</v>
      </c>
      <c r="J680" t="n">
        <v>0</v>
      </c>
      <c r="K680" t="n">
        <v>0</v>
      </c>
      <c r="L680" t="n">
        <v>0</v>
      </c>
      <c r="M680" t="n">
        <v>0</v>
      </c>
      <c r="N680" t="n">
        <v>0</v>
      </c>
      <c r="O680" t="n">
        <v>0</v>
      </c>
      <c r="P680" t="n">
        <v>0</v>
      </c>
      <c r="Q680" t="n">
        <v>0</v>
      </c>
      <c r="R680" s="2" t="inlineStr"/>
    </row>
    <row r="681" ht="15" customHeight="1">
      <c r="A681" t="inlineStr">
        <is>
          <t>A 43374-2018</t>
        </is>
      </c>
      <c r="B681" s="1" t="n">
        <v>43356</v>
      </c>
      <c r="C681" s="1" t="n">
        <v>45227</v>
      </c>
      <c r="D681" t="inlineStr">
        <is>
          <t>VÄSTRA GÖTALANDS LÄN</t>
        </is>
      </c>
      <c r="E681" t="inlineStr">
        <is>
          <t>ULRICEHAMN</t>
        </is>
      </c>
      <c r="G681" t="n">
        <v>1.5</v>
      </c>
      <c r="H681" t="n">
        <v>0</v>
      </c>
      <c r="I681" t="n">
        <v>0</v>
      </c>
      <c r="J681" t="n">
        <v>0</v>
      </c>
      <c r="K681" t="n">
        <v>0</v>
      </c>
      <c r="L681" t="n">
        <v>0</v>
      </c>
      <c r="M681" t="n">
        <v>0</v>
      </c>
      <c r="N681" t="n">
        <v>0</v>
      </c>
      <c r="O681" t="n">
        <v>0</v>
      </c>
      <c r="P681" t="n">
        <v>0</v>
      </c>
      <c r="Q681" t="n">
        <v>0</v>
      </c>
      <c r="R681" s="2" t="inlineStr"/>
    </row>
    <row r="682" ht="15" customHeight="1">
      <c r="A682" t="inlineStr">
        <is>
          <t>A 44437-2018</t>
        </is>
      </c>
      <c r="B682" s="1" t="n">
        <v>43356</v>
      </c>
      <c r="C682" s="1" t="n">
        <v>45227</v>
      </c>
      <c r="D682" t="inlineStr">
        <is>
          <t>VÄSTRA GÖTALANDS LÄN</t>
        </is>
      </c>
      <c r="E682" t="inlineStr">
        <is>
          <t>GULLSPÅNG</t>
        </is>
      </c>
      <c r="G682" t="n">
        <v>2.8</v>
      </c>
      <c r="H682" t="n">
        <v>0</v>
      </c>
      <c r="I682" t="n">
        <v>0</v>
      </c>
      <c r="J682" t="n">
        <v>0</v>
      </c>
      <c r="K682" t="n">
        <v>0</v>
      </c>
      <c r="L682" t="n">
        <v>0</v>
      </c>
      <c r="M682" t="n">
        <v>0</v>
      </c>
      <c r="N682" t="n">
        <v>0</v>
      </c>
      <c r="O682" t="n">
        <v>0</v>
      </c>
      <c r="P682" t="n">
        <v>0</v>
      </c>
      <c r="Q682" t="n">
        <v>0</v>
      </c>
      <c r="R682" s="2" t="inlineStr"/>
    </row>
    <row r="683" ht="15" customHeight="1">
      <c r="A683" t="inlineStr">
        <is>
          <t>A 45314-2018</t>
        </is>
      </c>
      <c r="B683" s="1" t="n">
        <v>43356</v>
      </c>
      <c r="C683" s="1" t="n">
        <v>45227</v>
      </c>
      <c r="D683" t="inlineStr">
        <is>
          <t>VÄSTRA GÖTALANDS LÄN</t>
        </is>
      </c>
      <c r="E683" t="inlineStr">
        <is>
          <t>TANUM</t>
        </is>
      </c>
      <c r="G683" t="n">
        <v>3.5</v>
      </c>
      <c r="H683" t="n">
        <v>0</v>
      </c>
      <c r="I683" t="n">
        <v>0</v>
      </c>
      <c r="J683" t="n">
        <v>0</v>
      </c>
      <c r="K683" t="n">
        <v>0</v>
      </c>
      <c r="L683" t="n">
        <v>0</v>
      </c>
      <c r="M683" t="n">
        <v>0</v>
      </c>
      <c r="N683" t="n">
        <v>0</v>
      </c>
      <c r="O683" t="n">
        <v>0</v>
      </c>
      <c r="P683" t="n">
        <v>0</v>
      </c>
      <c r="Q683" t="n">
        <v>0</v>
      </c>
      <c r="R683" s="2" t="inlineStr"/>
    </row>
    <row r="684" ht="15" customHeight="1">
      <c r="A684" t="inlineStr">
        <is>
          <t>A 45377-2018</t>
        </is>
      </c>
      <c r="B684" s="1" t="n">
        <v>43356</v>
      </c>
      <c r="C684" s="1" t="n">
        <v>45227</v>
      </c>
      <c r="D684" t="inlineStr">
        <is>
          <t>VÄSTRA GÖTALANDS LÄN</t>
        </is>
      </c>
      <c r="E684" t="inlineStr">
        <is>
          <t>TANUM</t>
        </is>
      </c>
      <c r="G684" t="n">
        <v>4.9</v>
      </c>
      <c r="H684" t="n">
        <v>0</v>
      </c>
      <c r="I684" t="n">
        <v>0</v>
      </c>
      <c r="J684" t="n">
        <v>0</v>
      </c>
      <c r="K684" t="n">
        <v>0</v>
      </c>
      <c r="L684" t="n">
        <v>0</v>
      </c>
      <c r="M684" t="n">
        <v>0</v>
      </c>
      <c r="N684" t="n">
        <v>0</v>
      </c>
      <c r="O684" t="n">
        <v>0</v>
      </c>
      <c r="P684" t="n">
        <v>0</v>
      </c>
      <c r="Q684" t="n">
        <v>0</v>
      </c>
      <c r="R684" s="2" t="inlineStr"/>
    </row>
    <row r="685" ht="15" customHeight="1">
      <c r="A685" t="inlineStr">
        <is>
          <t>A 43558-2018</t>
        </is>
      </c>
      <c r="B685" s="1" t="n">
        <v>43357</v>
      </c>
      <c r="C685" s="1" t="n">
        <v>45227</v>
      </c>
      <c r="D685" t="inlineStr">
        <is>
          <t>VÄSTRA GÖTALANDS LÄN</t>
        </is>
      </c>
      <c r="E685" t="inlineStr">
        <is>
          <t>BOLLEBYGD</t>
        </is>
      </c>
      <c r="G685" t="n">
        <v>1.1</v>
      </c>
      <c r="H685" t="n">
        <v>0</v>
      </c>
      <c r="I685" t="n">
        <v>0</v>
      </c>
      <c r="J685" t="n">
        <v>0</v>
      </c>
      <c r="K685" t="n">
        <v>0</v>
      </c>
      <c r="L685" t="n">
        <v>0</v>
      </c>
      <c r="M685" t="n">
        <v>0</v>
      </c>
      <c r="N685" t="n">
        <v>0</v>
      </c>
      <c r="O685" t="n">
        <v>0</v>
      </c>
      <c r="P685" t="n">
        <v>0</v>
      </c>
      <c r="Q685" t="n">
        <v>0</v>
      </c>
      <c r="R685" s="2" t="inlineStr"/>
    </row>
    <row r="686" ht="15" customHeight="1">
      <c r="A686" t="inlineStr">
        <is>
          <t>A 44707-2018</t>
        </is>
      </c>
      <c r="B686" s="1" t="n">
        <v>43357</v>
      </c>
      <c r="C686" s="1" t="n">
        <v>45227</v>
      </c>
      <c r="D686" t="inlineStr">
        <is>
          <t>VÄSTRA GÖTALANDS LÄN</t>
        </is>
      </c>
      <c r="E686" t="inlineStr">
        <is>
          <t>BENGTSFORS</t>
        </is>
      </c>
      <c r="G686" t="n">
        <v>2</v>
      </c>
      <c r="H686" t="n">
        <v>0</v>
      </c>
      <c r="I686" t="n">
        <v>0</v>
      </c>
      <c r="J686" t="n">
        <v>0</v>
      </c>
      <c r="K686" t="n">
        <v>0</v>
      </c>
      <c r="L686" t="n">
        <v>0</v>
      </c>
      <c r="M686" t="n">
        <v>0</v>
      </c>
      <c r="N686" t="n">
        <v>0</v>
      </c>
      <c r="O686" t="n">
        <v>0</v>
      </c>
      <c r="P686" t="n">
        <v>0</v>
      </c>
      <c r="Q686" t="n">
        <v>0</v>
      </c>
      <c r="R686" s="2" t="inlineStr"/>
    </row>
    <row r="687" ht="15" customHeight="1">
      <c r="A687" t="inlineStr">
        <is>
          <t>A 44808-2018</t>
        </is>
      </c>
      <c r="B687" s="1" t="n">
        <v>43357</v>
      </c>
      <c r="C687" s="1" t="n">
        <v>45227</v>
      </c>
      <c r="D687" t="inlineStr">
        <is>
          <t>VÄSTRA GÖTALANDS LÄN</t>
        </is>
      </c>
      <c r="E687" t="inlineStr">
        <is>
          <t>BENGTSFORS</t>
        </is>
      </c>
      <c r="G687" t="n">
        <v>1</v>
      </c>
      <c r="H687" t="n">
        <v>0</v>
      </c>
      <c r="I687" t="n">
        <v>0</v>
      </c>
      <c r="J687" t="n">
        <v>0</v>
      </c>
      <c r="K687" t="n">
        <v>0</v>
      </c>
      <c r="L687" t="n">
        <v>0</v>
      </c>
      <c r="M687" t="n">
        <v>0</v>
      </c>
      <c r="N687" t="n">
        <v>0</v>
      </c>
      <c r="O687" t="n">
        <v>0</v>
      </c>
      <c r="P687" t="n">
        <v>0</v>
      </c>
      <c r="Q687" t="n">
        <v>0</v>
      </c>
      <c r="R687" s="2" t="inlineStr"/>
    </row>
    <row r="688" ht="15" customHeight="1">
      <c r="A688" t="inlineStr">
        <is>
          <t>A 44877-2018</t>
        </is>
      </c>
      <c r="B688" s="1" t="n">
        <v>43357</v>
      </c>
      <c r="C688" s="1" t="n">
        <v>45227</v>
      </c>
      <c r="D688" t="inlineStr">
        <is>
          <t>VÄSTRA GÖTALANDS LÄN</t>
        </is>
      </c>
      <c r="E688" t="inlineStr">
        <is>
          <t>STRÖMSTAD</t>
        </is>
      </c>
      <c r="G688" t="n">
        <v>6.5</v>
      </c>
      <c r="H688" t="n">
        <v>0</v>
      </c>
      <c r="I688" t="n">
        <v>0</v>
      </c>
      <c r="J688" t="n">
        <v>0</v>
      </c>
      <c r="K688" t="n">
        <v>0</v>
      </c>
      <c r="L688" t="n">
        <v>0</v>
      </c>
      <c r="M688" t="n">
        <v>0</v>
      </c>
      <c r="N688" t="n">
        <v>0</v>
      </c>
      <c r="O688" t="n">
        <v>0</v>
      </c>
      <c r="P688" t="n">
        <v>0</v>
      </c>
      <c r="Q688" t="n">
        <v>0</v>
      </c>
      <c r="R688" s="2" t="inlineStr"/>
    </row>
    <row r="689" ht="15" customHeight="1">
      <c r="A689" t="inlineStr">
        <is>
          <t>A 43556-2018</t>
        </is>
      </c>
      <c r="B689" s="1" t="n">
        <v>43357</v>
      </c>
      <c r="C689" s="1" t="n">
        <v>45227</v>
      </c>
      <c r="D689" t="inlineStr">
        <is>
          <t>VÄSTRA GÖTALANDS LÄN</t>
        </is>
      </c>
      <c r="E689" t="inlineStr">
        <is>
          <t>SVENLJUNGA</t>
        </is>
      </c>
      <c r="G689" t="n">
        <v>1.9</v>
      </c>
      <c r="H689" t="n">
        <v>0</v>
      </c>
      <c r="I689" t="n">
        <v>0</v>
      </c>
      <c r="J689" t="n">
        <v>0</v>
      </c>
      <c r="K689" t="n">
        <v>0</v>
      </c>
      <c r="L689" t="n">
        <v>0</v>
      </c>
      <c r="M689" t="n">
        <v>0</v>
      </c>
      <c r="N689" t="n">
        <v>0</v>
      </c>
      <c r="O689" t="n">
        <v>0</v>
      </c>
      <c r="P689" t="n">
        <v>0</v>
      </c>
      <c r="Q689" t="n">
        <v>0</v>
      </c>
      <c r="R689" s="2" t="inlineStr"/>
    </row>
    <row r="690" ht="15" customHeight="1">
      <c r="A690" t="inlineStr">
        <is>
          <t>A 44593-2018</t>
        </is>
      </c>
      <c r="B690" s="1" t="n">
        <v>43357</v>
      </c>
      <c r="C690" s="1" t="n">
        <v>45227</v>
      </c>
      <c r="D690" t="inlineStr">
        <is>
          <t>VÄSTRA GÖTALANDS LÄN</t>
        </is>
      </c>
      <c r="E690" t="inlineStr">
        <is>
          <t>BOLLEBYGD</t>
        </is>
      </c>
      <c r="G690" t="n">
        <v>4.4</v>
      </c>
      <c r="H690" t="n">
        <v>0</v>
      </c>
      <c r="I690" t="n">
        <v>0</v>
      </c>
      <c r="J690" t="n">
        <v>0</v>
      </c>
      <c r="K690" t="n">
        <v>0</v>
      </c>
      <c r="L690" t="n">
        <v>0</v>
      </c>
      <c r="M690" t="n">
        <v>0</v>
      </c>
      <c r="N690" t="n">
        <v>0</v>
      </c>
      <c r="O690" t="n">
        <v>0</v>
      </c>
      <c r="P690" t="n">
        <v>0</v>
      </c>
      <c r="Q690" t="n">
        <v>0</v>
      </c>
      <c r="R690" s="2" t="inlineStr"/>
    </row>
    <row r="691" ht="15" customHeight="1">
      <c r="A691" t="inlineStr">
        <is>
          <t>A 44827-2018</t>
        </is>
      </c>
      <c r="B691" s="1" t="n">
        <v>43357</v>
      </c>
      <c r="C691" s="1" t="n">
        <v>45227</v>
      </c>
      <c r="D691" t="inlineStr">
        <is>
          <t>VÄSTRA GÖTALANDS LÄN</t>
        </is>
      </c>
      <c r="E691" t="inlineStr">
        <is>
          <t>MUNKEDAL</t>
        </is>
      </c>
      <c r="F691" t="inlineStr">
        <is>
          <t>Övriga Aktiebolag</t>
        </is>
      </c>
      <c r="G691" t="n">
        <v>5.2</v>
      </c>
      <c r="H691" t="n">
        <v>0</v>
      </c>
      <c r="I691" t="n">
        <v>0</v>
      </c>
      <c r="J691" t="n">
        <v>0</v>
      </c>
      <c r="K691" t="n">
        <v>0</v>
      </c>
      <c r="L691" t="n">
        <v>0</v>
      </c>
      <c r="M691" t="n">
        <v>0</v>
      </c>
      <c r="N691" t="n">
        <v>0</v>
      </c>
      <c r="O691" t="n">
        <v>0</v>
      </c>
      <c r="P691" t="n">
        <v>0</v>
      </c>
      <c r="Q691" t="n">
        <v>0</v>
      </c>
      <c r="R691" s="2" t="inlineStr"/>
    </row>
    <row r="692" ht="15" customHeight="1">
      <c r="A692" t="inlineStr">
        <is>
          <t>A 43908-2018</t>
        </is>
      </c>
      <c r="B692" s="1" t="n">
        <v>43358</v>
      </c>
      <c r="C692" s="1" t="n">
        <v>45227</v>
      </c>
      <c r="D692" t="inlineStr">
        <is>
          <t>VÄSTRA GÖTALANDS LÄN</t>
        </is>
      </c>
      <c r="E692" t="inlineStr">
        <is>
          <t>ULRICEHAMN</t>
        </is>
      </c>
      <c r="G692" t="n">
        <v>1.7</v>
      </c>
      <c r="H692" t="n">
        <v>0</v>
      </c>
      <c r="I692" t="n">
        <v>0</v>
      </c>
      <c r="J692" t="n">
        <v>0</v>
      </c>
      <c r="K692" t="n">
        <v>0</v>
      </c>
      <c r="L692" t="n">
        <v>0</v>
      </c>
      <c r="M692" t="n">
        <v>0</v>
      </c>
      <c r="N692" t="n">
        <v>0</v>
      </c>
      <c r="O692" t="n">
        <v>0</v>
      </c>
      <c r="P692" t="n">
        <v>0</v>
      </c>
      <c r="Q692" t="n">
        <v>0</v>
      </c>
      <c r="R692" s="2" t="inlineStr"/>
    </row>
    <row r="693" ht="15" customHeight="1">
      <c r="A693" t="inlineStr">
        <is>
          <t>A 43959-2018</t>
        </is>
      </c>
      <c r="B693" s="1" t="n">
        <v>43360</v>
      </c>
      <c r="C693" s="1" t="n">
        <v>45227</v>
      </c>
      <c r="D693" t="inlineStr">
        <is>
          <t>VÄSTRA GÖTALANDS LÄN</t>
        </is>
      </c>
      <c r="E693" t="inlineStr">
        <is>
          <t>MUNKEDAL</t>
        </is>
      </c>
      <c r="G693" t="n">
        <v>0.7</v>
      </c>
      <c r="H693" t="n">
        <v>0</v>
      </c>
      <c r="I693" t="n">
        <v>0</v>
      </c>
      <c r="J693" t="n">
        <v>0</v>
      </c>
      <c r="K693" t="n">
        <v>0</v>
      </c>
      <c r="L693" t="n">
        <v>0</v>
      </c>
      <c r="M693" t="n">
        <v>0</v>
      </c>
      <c r="N693" t="n">
        <v>0</v>
      </c>
      <c r="O693" t="n">
        <v>0</v>
      </c>
      <c r="P693" t="n">
        <v>0</v>
      </c>
      <c r="Q693" t="n">
        <v>0</v>
      </c>
      <c r="R693" s="2" t="inlineStr"/>
    </row>
    <row r="694" ht="15" customHeight="1">
      <c r="A694" t="inlineStr">
        <is>
          <t>A 44906-2018</t>
        </is>
      </c>
      <c r="B694" s="1" t="n">
        <v>43360</v>
      </c>
      <c r="C694" s="1" t="n">
        <v>45227</v>
      </c>
      <c r="D694" t="inlineStr">
        <is>
          <t>VÄSTRA GÖTALANDS LÄN</t>
        </is>
      </c>
      <c r="E694" t="inlineStr">
        <is>
          <t>KARLSBORG</t>
        </is>
      </c>
      <c r="G694" t="n">
        <v>2.3</v>
      </c>
      <c r="H694" t="n">
        <v>0</v>
      </c>
      <c r="I694" t="n">
        <v>0</v>
      </c>
      <c r="J694" t="n">
        <v>0</v>
      </c>
      <c r="K694" t="n">
        <v>0</v>
      </c>
      <c r="L694" t="n">
        <v>0</v>
      </c>
      <c r="M694" t="n">
        <v>0</v>
      </c>
      <c r="N694" t="n">
        <v>0</v>
      </c>
      <c r="O694" t="n">
        <v>0</v>
      </c>
      <c r="P694" t="n">
        <v>0</v>
      </c>
      <c r="Q694" t="n">
        <v>0</v>
      </c>
      <c r="R694" s="2" t="inlineStr"/>
    </row>
    <row r="695" ht="15" customHeight="1">
      <c r="A695" t="inlineStr">
        <is>
          <t>A 44055-2018</t>
        </is>
      </c>
      <c r="B695" s="1" t="n">
        <v>43360</v>
      </c>
      <c r="C695" s="1" t="n">
        <v>45227</v>
      </c>
      <c r="D695" t="inlineStr">
        <is>
          <t>VÄSTRA GÖTALANDS LÄN</t>
        </is>
      </c>
      <c r="E695" t="inlineStr">
        <is>
          <t>VARA</t>
        </is>
      </c>
      <c r="G695" t="n">
        <v>1</v>
      </c>
      <c r="H695" t="n">
        <v>0</v>
      </c>
      <c r="I695" t="n">
        <v>0</v>
      </c>
      <c r="J695" t="n">
        <v>0</v>
      </c>
      <c r="K695" t="n">
        <v>0</v>
      </c>
      <c r="L695" t="n">
        <v>0</v>
      </c>
      <c r="M695" t="n">
        <v>0</v>
      </c>
      <c r="N695" t="n">
        <v>0</v>
      </c>
      <c r="O695" t="n">
        <v>0</v>
      </c>
      <c r="P695" t="n">
        <v>0</v>
      </c>
      <c r="Q695" t="n">
        <v>0</v>
      </c>
      <c r="R695" s="2" t="inlineStr"/>
    </row>
    <row r="696" ht="15" customHeight="1">
      <c r="A696" t="inlineStr">
        <is>
          <t>A 44123-2018</t>
        </is>
      </c>
      <c r="B696" s="1" t="n">
        <v>43360</v>
      </c>
      <c r="C696" s="1" t="n">
        <v>45227</v>
      </c>
      <c r="D696" t="inlineStr">
        <is>
          <t>VÄSTRA GÖTALANDS LÄN</t>
        </is>
      </c>
      <c r="E696" t="inlineStr">
        <is>
          <t>ULRICEHAMN</t>
        </is>
      </c>
      <c r="F696" t="inlineStr">
        <is>
          <t>Sveaskog</t>
        </is>
      </c>
      <c r="G696" t="n">
        <v>1.4</v>
      </c>
      <c r="H696" t="n">
        <v>0</v>
      </c>
      <c r="I696" t="n">
        <v>0</v>
      </c>
      <c r="J696" t="n">
        <v>0</v>
      </c>
      <c r="K696" t="n">
        <v>0</v>
      </c>
      <c r="L696" t="n">
        <v>0</v>
      </c>
      <c r="M696" t="n">
        <v>0</v>
      </c>
      <c r="N696" t="n">
        <v>0</v>
      </c>
      <c r="O696" t="n">
        <v>0</v>
      </c>
      <c r="P696" t="n">
        <v>0</v>
      </c>
      <c r="Q696" t="n">
        <v>0</v>
      </c>
      <c r="R696" s="2" t="inlineStr"/>
    </row>
    <row r="697" ht="15" customHeight="1">
      <c r="A697" t="inlineStr">
        <is>
          <t>A 45099-2018</t>
        </is>
      </c>
      <c r="B697" s="1" t="n">
        <v>43360</v>
      </c>
      <c r="C697" s="1" t="n">
        <v>45227</v>
      </c>
      <c r="D697" t="inlineStr">
        <is>
          <t>VÄSTRA GÖTALANDS LÄN</t>
        </is>
      </c>
      <c r="E697" t="inlineStr">
        <is>
          <t>VÄNERSBORG</t>
        </is>
      </c>
      <c r="G697" t="n">
        <v>1.7</v>
      </c>
      <c r="H697" t="n">
        <v>0</v>
      </c>
      <c r="I697" t="n">
        <v>0</v>
      </c>
      <c r="J697" t="n">
        <v>0</v>
      </c>
      <c r="K697" t="n">
        <v>0</v>
      </c>
      <c r="L697" t="n">
        <v>0</v>
      </c>
      <c r="M697" t="n">
        <v>0</v>
      </c>
      <c r="N697" t="n">
        <v>0</v>
      </c>
      <c r="O697" t="n">
        <v>0</v>
      </c>
      <c r="P697" t="n">
        <v>0</v>
      </c>
      <c r="Q697" t="n">
        <v>0</v>
      </c>
      <c r="R697" s="2" t="inlineStr"/>
    </row>
    <row r="698" ht="15" customHeight="1">
      <c r="A698" t="inlineStr">
        <is>
          <t>A 44891-2018</t>
        </is>
      </c>
      <c r="B698" s="1" t="n">
        <v>43360</v>
      </c>
      <c r="C698" s="1" t="n">
        <v>45227</v>
      </c>
      <c r="D698" t="inlineStr">
        <is>
          <t>VÄSTRA GÖTALANDS LÄN</t>
        </is>
      </c>
      <c r="E698" t="inlineStr">
        <is>
          <t>KARLSBORG</t>
        </is>
      </c>
      <c r="G698" t="n">
        <v>1.3</v>
      </c>
      <c r="H698" t="n">
        <v>0</v>
      </c>
      <c r="I698" t="n">
        <v>0</v>
      </c>
      <c r="J698" t="n">
        <v>0</v>
      </c>
      <c r="K698" t="n">
        <v>0</v>
      </c>
      <c r="L698" t="n">
        <v>0</v>
      </c>
      <c r="M698" t="n">
        <v>0</v>
      </c>
      <c r="N698" t="n">
        <v>0</v>
      </c>
      <c r="O698" t="n">
        <v>0</v>
      </c>
      <c r="P698" t="n">
        <v>0</v>
      </c>
      <c r="Q698" t="n">
        <v>0</v>
      </c>
      <c r="R698" s="2" t="inlineStr"/>
    </row>
    <row r="699" ht="15" customHeight="1">
      <c r="A699" t="inlineStr">
        <is>
          <t>A 45258-2018</t>
        </is>
      </c>
      <c r="B699" s="1" t="n">
        <v>43361</v>
      </c>
      <c r="C699" s="1" t="n">
        <v>45227</v>
      </c>
      <c r="D699" t="inlineStr">
        <is>
          <t>VÄSTRA GÖTALANDS LÄN</t>
        </is>
      </c>
      <c r="E699" t="inlineStr">
        <is>
          <t>LIDKÖPING</t>
        </is>
      </c>
      <c r="G699" t="n">
        <v>4</v>
      </c>
      <c r="H699" t="n">
        <v>0</v>
      </c>
      <c r="I699" t="n">
        <v>0</v>
      </c>
      <c r="J699" t="n">
        <v>0</v>
      </c>
      <c r="K699" t="n">
        <v>0</v>
      </c>
      <c r="L699" t="n">
        <v>0</v>
      </c>
      <c r="M699" t="n">
        <v>0</v>
      </c>
      <c r="N699" t="n">
        <v>0</v>
      </c>
      <c r="O699" t="n">
        <v>0</v>
      </c>
      <c r="P699" t="n">
        <v>0</v>
      </c>
      <c r="Q699" t="n">
        <v>0</v>
      </c>
      <c r="R699" s="2" t="inlineStr"/>
    </row>
    <row r="700" ht="15" customHeight="1">
      <c r="A700" t="inlineStr">
        <is>
          <t>A 45008-2018</t>
        </is>
      </c>
      <c r="B700" s="1" t="n">
        <v>43361</v>
      </c>
      <c r="C700" s="1" t="n">
        <v>45227</v>
      </c>
      <c r="D700" t="inlineStr">
        <is>
          <t>VÄSTRA GÖTALANDS LÄN</t>
        </is>
      </c>
      <c r="E700" t="inlineStr">
        <is>
          <t>UDDEVALLA</t>
        </is>
      </c>
      <c r="G700" t="n">
        <v>1.4</v>
      </c>
      <c r="H700" t="n">
        <v>0</v>
      </c>
      <c r="I700" t="n">
        <v>0</v>
      </c>
      <c r="J700" t="n">
        <v>0</v>
      </c>
      <c r="K700" t="n">
        <v>0</v>
      </c>
      <c r="L700" t="n">
        <v>0</v>
      </c>
      <c r="M700" t="n">
        <v>0</v>
      </c>
      <c r="N700" t="n">
        <v>0</v>
      </c>
      <c r="O700" t="n">
        <v>0</v>
      </c>
      <c r="P700" t="n">
        <v>0</v>
      </c>
      <c r="Q700" t="n">
        <v>0</v>
      </c>
      <c r="R700" s="2" t="inlineStr"/>
    </row>
    <row r="701" ht="15" customHeight="1">
      <c r="A701" t="inlineStr">
        <is>
          <t>A 45229-2018</t>
        </is>
      </c>
      <c r="B701" s="1" t="n">
        <v>43361</v>
      </c>
      <c r="C701" s="1" t="n">
        <v>45227</v>
      </c>
      <c r="D701" t="inlineStr">
        <is>
          <t>VÄSTRA GÖTALANDS LÄN</t>
        </is>
      </c>
      <c r="E701" t="inlineStr">
        <is>
          <t>STRÖMSTAD</t>
        </is>
      </c>
      <c r="G701" t="n">
        <v>2</v>
      </c>
      <c r="H701" t="n">
        <v>0</v>
      </c>
      <c r="I701" t="n">
        <v>0</v>
      </c>
      <c r="J701" t="n">
        <v>0</v>
      </c>
      <c r="K701" t="n">
        <v>0</v>
      </c>
      <c r="L701" t="n">
        <v>0</v>
      </c>
      <c r="M701" t="n">
        <v>0</v>
      </c>
      <c r="N701" t="n">
        <v>0</v>
      </c>
      <c r="O701" t="n">
        <v>0</v>
      </c>
      <c r="P701" t="n">
        <v>0</v>
      </c>
      <c r="Q701" t="n">
        <v>0</v>
      </c>
      <c r="R701" s="2" t="inlineStr"/>
    </row>
    <row r="702" ht="15" customHeight="1">
      <c r="A702" t="inlineStr">
        <is>
          <t>A 45010-2018</t>
        </is>
      </c>
      <c r="B702" s="1" t="n">
        <v>43361</v>
      </c>
      <c r="C702" s="1" t="n">
        <v>45227</v>
      </c>
      <c r="D702" t="inlineStr">
        <is>
          <t>VÄSTRA GÖTALANDS LÄN</t>
        </is>
      </c>
      <c r="E702" t="inlineStr">
        <is>
          <t>ALE</t>
        </is>
      </c>
      <c r="G702" t="n">
        <v>2.6</v>
      </c>
      <c r="H702" t="n">
        <v>0</v>
      </c>
      <c r="I702" t="n">
        <v>0</v>
      </c>
      <c r="J702" t="n">
        <v>0</v>
      </c>
      <c r="K702" t="n">
        <v>0</v>
      </c>
      <c r="L702" t="n">
        <v>0</v>
      </c>
      <c r="M702" t="n">
        <v>0</v>
      </c>
      <c r="N702" t="n">
        <v>0</v>
      </c>
      <c r="O702" t="n">
        <v>0</v>
      </c>
      <c r="P702" t="n">
        <v>0</v>
      </c>
      <c r="Q702" t="n">
        <v>0</v>
      </c>
      <c r="R702" s="2" t="inlineStr"/>
    </row>
    <row r="703" ht="15" customHeight="1">
      <c r="A703" t="inlineStr">
        <is>
          <t>A 45234-2018</t>
        </is>
      </c>
      <c r="B703" s="1" t="n">
        <v>43361</v>
      </c>
      <c r="C703" s="1" t="n">
        <v>45227</v>
      </c>
      <c r="D703" t="inlineStr">
        <is>
          <t>VÄSTRA GÖTALANDS LÄN</t>
        </is>
      </c>
      <c r="E703" t="inlineStr">
        <is>
          <t>STENUNGSUND</t>
        </is>
      </c>
      <c r="G703" t="n">
        <v>6</v>
      </c>
      <c r="H703" t="n">
        <v>0</v>
      </c>
      <c r="I703" t="n">
        <v>0</v>
      </c>
      <c r="J703" t="n">
        <v>0</v>
      </c>
      <c r="K703" t="n">
        <v>0</v>
      </c>
      <c r="L703" t="n">
        <v>0</v>
      </c>
      <c r="M703" t="n">
        <v>0</v>
      </c>
      <c r="N703" t="n">
        <v>0</v>
      </c>
      <c r="O703" t="n">
        <v>0</v>
      </c>
      <c r="P703" t="n">
        <v>0</v>
      </c>
      <c r="Q703" t="n">
        <v>0</v>
      </c>
      <c r="R703" s="2" t="inlineStr"/>
    </row>
    <row r="704" ht="15" customHeight="1">
      <c r="A704" t="inlineStr">
        <is>
          <t>A 44810-2018</t>
        </is>
      </c>
      <c r="B704" s="1" t="n">
        <v>43362</v>
      </c>
      <c r="C704" s="1" t="n">
        <v>45227</v>
      </c>
      <c r="D704" t="inlineStr">
        <is>
          <t>VÄSTRA GÖTALANDS LÄN</t>
        </is>
      </c>
      <c r="E704" t="inlineStr">
        <is>
          <t>MELLERUD</t>
        </is>
      </c>
      <c r="G704" t="n">
        <v>6.3</v>
      </c>
      <c r="H704" t="n">
        <v>0</v>
      </c>
      <c r="I704" t="n">
        <v>0</v>
      </c>
      <c r="J704" t="n">
        <v>0</v>
      </c>
      <c r="K704" t="n">
        <v>0</v>
      </c>
      <c r="L704" t="n">
        <v>0</v>
      </c>
      <c r="M704" t="n">
        <v>0</v>
      </c>
      <c r="N704" t="n">
        <v>0</v>
      </c>
      <c r="O704" t="n">
        <v>0</v>
      </c>
      <c r="P704" t="n">
        <v>0</v>
      </c>
      <c r="Q704" t="n">
        <v>0</v>
      </c>
      <c r="R704" s="2" t="inlineStr"/>
    </row>
    <row r="705" ht="15" customHeight="1">
      <c r="A705" t="inlineStr">
        <is>
          <t>A 44935-2018</t>
        </is>
      </c>
      <c r="B705" s="1" t="n">
        <v>43362</v>
      </c>
      <c r="C705" s="1" t="n">
        <v>45227</v>
      </c>
      <c r="D705" t="inlineStr">
        <is>
          <t>VÄSTRA GÖTALANDS LÄN</t>
        </is>
      </c>
      <c r="E705" t="inlineStr">
        <is>
          <t>ULRICEHAMN</t>
        </is>
      </c>
      <c r="G705" t="n">
        <v>9.5</v>
      </c>
      <c r="H705" t="n">
        <v>0</v>
      </c>
      <c r="I705" t="n">
        <v>0</v>
      </c>
      <c r="J705" t="n">
        <v>0</v>
      </c>
      <c r="K705" t="n">
        <v>0</v>
      </c>
      <c r="L705" t="n">
        <v>0</v>
      </c>
      <c r="M705" t="n">
        <v>0</v>
      </c>
      <c r="N705" t="n">
        <v>0</v>
      </c>
      <c r="O705" t="n">
        <v>0</v>
      </c>
      <c r="P705" t="n">
        <v>0</v>
      </c>
      <c r="Q705" t="n">
        <v>0</v>
      </c>
      <c r="R705" s="2" t="inlineStr"/>
    </row>
    <row r="706" ht="15" customHeight="1">
      <c r="A706" t="inlineStr">
        <is>
          <t>A 44991-2018</t>
        </is>
      </c>
      <c r="B706" s="1" t="n">
        <v>43362</v>
      </c>
      <c r="C706" s="1" t="n">
        <v>45227</v>
      </c>
      <c r="D706" t="inlineStr">
        <is>
          <t>VÄSTRA GÖTALANDS LÄN</t>
        </is>
      </c>
      <c r="E706" t="inlineStr">
        <is>
          <t>STRÖMSTAD</t>
        </is>
      </c>
      <c r="G706" t="n">
        <v>5.7</v>
      </c>
      <c r="H706" t="n">
        <v>0</v>
      </c>
      <c r="I706" t="n">
        <v>0</v>
      </c>
      <c r="J706" t="n">
        <v>0</v>
      </c>
      <c r="K706" t="n">
        <v>0</v>
      </c>
      <c r="L706" t="n">
        <v>0</v>
      </c>
      <c r="M706" t="n">
        <v>0</v>
      </c>
      <c r="N706" t="n">
        <v>0</v>
      </c>
      <c r="O706" t="n">
        <v>0</v>
      </c>
      <c r="P706" t="n">
        <v>0</v>
      </c>
      <c r="Q706" t="n">
        <v>0</v>
      </c>
      <c r="R706" s="2" t="inlineStr"/>
    </row>
    <row r="707" ht="15" customHeight="1">
      <c r="A707" t="inlineStr">
        <is>
          <t>A 45488-2018</t>
        </is>
      </c>
      <c r="B707" s="1" t="n">
        <v>43362</v>
      </c>
      <c r="C707" s="1" t="n">
        <v>45227</v>
      </c>
      <c r="D707" t="inlineStr">
        <is>
          <t>VÄSTRA GÖTALANDS LÄN</t>
        </is>
      </c>
      <c r="E707" t="inlineStr">
        <is>
          <t>FALKÖPING</t>
        </is>
      </c>
      <c r="G707" t="n">
        <v>13.6</v>
      </c>
      <c r="H707" t="n">
        <v>0</v>
      </c>
      <c r="I707" t="n">
        <v>0</v>
      </c>
      <c r="J707" t="n">
        <v>0</v>
      </c>
      <c r="K707" t="n">
        <v>0</v>
      </c>
      <c r="L707" t="n">
        <v>0</v>
      </c>
      <c r="M707" t="n">
        <v>0</v>
      </c>
      <c r="N707" t="n">
        <v>0</v>
      </c>
      <c r="O707" t="n">
        <v>0</v>
      </c>
      <c r="P707" t="n">
        <v>0</v>
      </c>
      <c r="Q707" t="n">
        <v>0</v>
      </c>
      <c r="R707" s="2" t="inlineStr"/>
    </row>
    <row r="708" ht="15" customHeight="1">
      <c r="A708" t="inlineStr">
        <is>
          <t>A 45531-2018</t>
        </is>
      </c>
      <c r="B708" s="1" t="n">
        <v>43362</v>
      </c>
      <c r="C708" s="1" t="n">
        <v>45227</v>
      </c>
      <c r="D708" t="inlineStr">
        <is>
          <t>VÄSTRA GÖTALANDS LÄN</t>
        </is>
      </c>
      <c r="E708" t="inlineStr">
        <is>
          <t>ÅMÅL</t>
        </is>
      </c>
      <c r="G708" t="n">
        <v>1.8</v>
      </c>
      <c r="H708" t="n">
        <v>0</v>
      </c>
      <c r="I708" t="n">
        <v>0</v>
      </c>
      <c r="J708" t="n">
        <v>0</v>
      </c>
      <c r="K708" t="n">
        <v>0</v>
      </c>
      <c r="L708" t="n">
        <v>0</v>
      </c>
      <c r="M708" t="n">
        <v>0</v>
      </c>
      <c r="N708" t="n">
        <v>0</v>
      </c>
      <c r="O708" t="n">
        <v>0</v>
      </c>
      <c r="P708" t="n">
        <v>0</v>
      </c>
      <c r="Q708" t="n">
        <v>0</v>
      </c>
      <c r="R708" s="2" t="inlineStr"/>
    </row>
    <row r="709" ht="15" customHeight="1">
      <c r="A709" t="inlineStr">
        <is>
          <t>A 45718-2018</t>
        </is>
      </c>
      <c r="B709" s="1" t="n">
        <v>43362</v>
      </c>
      <c r="C709" s="1" t="n">
        <v>45227</v>
      </c>
      <c r="D709" t="inlineStr">
        <is>
          <t>VÄSTRA GÖTALANDS LÄN</t>
        </is>
      </c>
      <c r="E709" t="inlineStr">
        <is>
          <t>GULLSPÅNG</t>
        </is>
      </c>
      <c r="G709" t="n">
        <v>3.7</v>
      </c>
      <c r="H709" t="n">
        <v>0</v>
      </c>
      <c r="I709" t="n">
        <v>0</v>
      </c>
      <c r="J709" t="n">
        <v>0</v>
      </c>
      <c r="K709" t="n">
        <v>0</v>
      </c>
      <c r="L709" t="n">
        <v>0</v>
      </c>
      <c r="M709" t="n">
        <v>0</v>
      </c>
      <c r="N709" t="n">
        <v>0</v>
      </c>
      <c r="O709" t="n">
        <v>0</v>
      </c>
      <c r="P709" t="n">
        <v>0</v>
      </c>
      <c r="Q709" t="n">
        <v>0</v>
      </c>
      <c r="R709" s="2" t="inlineStr"/>
    </row>
    <row r="710" ht="15" customHeight="1">
      <c r="A710" t="inlineStr">
        <is>
          <t>A 45526-2018</t>
        </is>
      </c>
      <c r="B710" s="1" t="n">
        <v>43362</v>
      </c>
      <c r="C710" s="1" t="n">
        <v>45227</v>
      </c>
      <c r="D710" t="inlineStr">
        <is>
          <t>VÄSTRA GÖTALANDS LÄN</t>
        </is>
      </c>
      <c r="E710" t="inlineStr">
        <is>
          <t>FALKÖPING</t>
        </is>
      </c>
      <c r="G710" t="n">
        <v>7</v>
      </c>
      <c r="H710" t="n">
        <v>0</v>
      </c>
      <c r="I710" t="n">
        <v>0</v>
      </c>
      <c r="J710" t="n">
        <v>0</v>
      </c>
      <c r="K710" t="n">
        <v>0</v>
      </c>
      <c r="L710" t="n">
        <v>0</v>
      </c>
      <c r="M710" t="n">
        <v>0</v>
      </c>
      <c r="N710" t="n">
        <v>0</v>
      </c>
      <c r="O710" t="n">
        <v>0</v>
      </c>
      <c r="P710" t="n">
        <v>0</v>
      </c>
      <c r="Q710" t="n">
        <v>0</v>
      </c>
      <c r="R710" s="2" t="inlineStr"/>
    </row>
    <row r="711" ht="15" customHeight="1">
      <c r="A711" t="inlineStr">
        <is>
          <t>A 45546-2018</t>
        </is>
      </c>
      <c r="B711" s="1" t="n">
        <v>43362</v>
      </c>
      <c r="C711" s="1" t="n">
        <v>45227</v>
      </c>
      <c r="D711" t="inlineStr">
        <is>
          <t>VÄSTRA GÖTALANDS LÄN</t>
        </is>
      </c>
      <c r="E711" t="inlineStr">
        <is>
          <t>ÅMÅL</t>
        </is>
      </c>
      <c r="G711" t="n">
        <v>1</v>
      </c>
      <c r="H711" t="n">
        <v>0</v>
      </c>
      <c r="I711" t="n">
        <v>0</v>
      </c>
      <c r="J711" t="n">
        <v>0</v>
      </c>
      <c r="K711" t="n">
        <v>0</v>
      </c>
      <c r="L711" t="n">
        <v>0</v>
      </c>
      <c r="M711" t="n">
        <v>0</v>
      </c>
      <c r="N711" t="n">
        <v>0</v>
      </c>
      <c r="O711" t="n">
        <v>0</v>
      </c>
      <c r="P711" t="n">
        <v>0</v>
      </c>
      <c r="Q711" t="n">
        <v>0</v>
      </c>
      <c r="R711" s="2" t="inlineStr"/>
    </row>
    <row r="712" ht="15" customHeight="1">
      <c r="A712" t="inlineStr">
        <is>
          <t>A 45759-2018</t>
        </is>
      </c>
      <c r="B712" s="1" t="n">
        <v>43362</v>
      </c>
      <c r="C712" s="1" t="n">
        <v>45227</v>
      </c>
      <c r="D712" t="inlineStr">
        <is>
          <t>VÄSTRA GÖTALANDS LÄN</t>
        </is>
      </c>
      <c r="E712" t="inlineStr">
        <is>
          <t>STRÖMSTAD</t>
        </is>
      </c>
      <c r="G712" t="n">
        <v>2.5</v>
      </c>
      <c r="H712" t="n">
        <v>0</v>
      </c>
      <c r="I712" t="n">
        <v>0</v>
      </c>
      <c r="J712" t="n">
        <v>0</v>
      </c>
      <c r="K712" t="n">
        <v>0</v>
      </c>
      <c r="L712" t="n">
        <v>0</v>
      </c>
      <c r="M712" t="n">
        <v>0</v>
      </c>
      <c r="N712" t="n">
        <v>0</v>
      </c>
      <c r="O712" t="n">
        <v>0</v>
      </c>
      <c r="P712" t="n">
        <v>0</v>
      </c>
      <c r="Q712" t="n">
        <v>0</v>
      </c>
      <c r="R712" s="2" t="inlineStr"/>
    </row>
    <row r="713" ht="15" customHeight="1">
      <c r="A713" t="inlineStr">
        <is>
          <t>A 44934-2018</t>
        </is>
      </c>
      <c r="B713" s="1" t="n">
        <v>43362</v>
      </c>
      <c r="C713" s="1" t="n">
        <v>45227</v>
      </c>
      <c r="D713" t="inlineStr">
        <is>
          <t>VÄSTRA GÖTALANDS LÄN</t>
        </is>
      </c>
      <c r="E713" t="inlineStr">
        <is>
          <t>MARK</t>
        </is>
      </c>
      <c r="G713" t="n">
        <v>3.4</v>
      </c>
      <c r="H713" t="n">
        <v>0</v>
      </c>
      <c r="I713" t="n">
        <v>0</v>
      </c>
      <c r="J713" t="n">
        <v>0</v>
      </c>
      <c r="K713" t="n">
        <v>0</v>
      </c>
      <c r="L713" t="n">
        <v>0</v>
      </c>
      <c r="M713" t="n">
        <v>0</v>
      </c>
      <c r="N713" t="n">
        <v>0</v>
      </c>
      <c r="O713" t="n">
        <v>0</v>
      </c>
      <c r="P713" t="n">
        <v>0</v>
      </c>
      <c r="Q713" t="n">
        <v>0</v>
      </c>
      <c r="R713" s="2" t="inlineStr"/>
    </row>
    <row r="714" ht="15" customHeight="1">
      <c r="A714" t="inlineStr">
        <is>
          <t>A 45497-2018</t>
        </is>
      </c>
      <c r="B714" s="1" t="n">
        <v>43362</v>
      </c>
      <c r="C714" s="1" t="n">
        <v>45227</v>
      </c>
      <c r="D714" t="inlineStr">
        <is>
          <t>VÄSTRA GÖTALANDS LÄN</t>
        </is>
      </c>
      <c r="E714" t="inlineStr">
        <is>
          <t>FALKÖPING</t>
        </is>
      </c>
      <c r="G714" t="n">
        <v>3.5</v>
      </c>
      <c r="H714" t="n">
        <v>0</v>
      </c>
      <c r="I714" t="n">
        <v>0</v>
      </c>
      <c r="J714" t="n">
        <v>0</v>
      </c>
      <c r="K714" t="n">
        <v>0</v>
      </c>
      <c r="L714" t="n">
        <v>0</v>
      </c>
      <c r="M714" t="n">
        <v>0</v>
      </c>
      <c r="N714" t="n">
        <v>0</v>
      </c>
      <c r="O714" t="n">
        <v>0</v>
      </c>
      <c r="P714" t="n">
        <v>0</v>
      </c>
      <c r="Q714" t="n">
        <v>0</v>
      </c>
      <c r="R714" s="2" t="inlineStr"/>
    </row>
    <row r="715" ht="15" customHeight="1">
      <c r="A715" t="inlineStr">
        <is>
          <t>A 45582-2018</t>
        </is>
      </c>
      <c r="B715" s="1" t="n">
        <v>43363</v>
      </c>
      <c r="C715" s="1" t="n">
        <v>45227</v>
      </c>
      <c r="D715" t="inlineStr">
        <is>
          <t>VÄSTRA GÖTALANDS LÄN</t>
        </is>
      </c>
      <c r="E715" t="inlineStr">
        <is>
          <t>SVENLJUNGA</t>
        </is>
      </c>
      <c r="G715" t="n">
        <v>0.5</v>
      </c>
      <c r="H715" t="n">
        <v>0</v>
      </c>
      <c r="I715" t="n">
        <v>0</v>
      </c>
      <c r="J715" t="n">
        <v>0</v>
      </c>
      <c r="K715" t="n">
        <v>0</v>
      </c>
      <c r="L715" t="n">
        <v>0</v>
      </c>
      <c r="M715" t="n">
        <v>0</v>
      </c>
      <c r="N715" t="n">
        <v>0</v>
      </c>
      <c r="O715" t="n">
        <v>0</v>
      </c>
      <c r="P715" t="n">
        <v>0</v>
      </c>
      <c r="Q715" t="n">
        <v>0</v>
      </c>
      <c r="R715" s="2" t="inlineStr"/>
    </row>
    <row r="716" ht="15" customHeight="1">
      <c r="A716" t="inlineStr">
        <is>
          <t>A 46407-2018</t>
        </is>
      </c>
      <c r="B716" s="1" t="n">
        <v>43363</v>
      </c>
      <c r="C716" s="1" t="n">
        <v>45227</v>
      </c>
      <c r="D716" t="inlineStr">
        <is>
          <t>VÄSTRA GÖTALANDS LÄN</t>
        </is>
      </c>
      <c r="E716" t="inlineStr">
        <is>
          <t>HJO</t>
        </is>
      </c>
      <c r="G716" t="n">
        <v>1.4</v>
      </c>
      <c r="H716" t="n">
        <v>0</v>
      </c>
      <c r="I716" t="n">
        <v>0</v>
      </c>
      <c r="J716" t="n">
        <v>0</v>
      </c>
      <c r="K716" t="n">
        <v>0</v>
      </c>
      <c r="L716" t="n">
        <v>0</v>
      </c>
      <c r="M716" t="n">
        <v>0</v>
      </c>
      <c r="N716" t="n">
        <v>0</v>
      </c>
      <c r="O716" t="n">
        <v>0</v>
      </c>
      <c r="P716" t="n">
        <v>0</v>
      </c>
      <c r="Q716" t="n">
        <v>0</v>
      </c>
      <c r="R716" s="2" t="inlineStr"/>
    </row>
    <row r="717" ht="15" customHeight="1">
      <c r="A717" t="inlineStr">
        <is>
          <t>A 45263-2018</t>
        </is>
      </c>
      <c r="B717" s="1" t="n">
        <v>43363</v>
      </c>
      <c r="C717" s="1" t="n">
        <v>45227</v>
      </c>
      <c r="D717" t="inlineStr">
        <is>
          <t>VÄSTRA GÖTALANDS LÄN</t>
        </is>
      </c>
      <c r="E717" t="inlineStr">
        <is>
          <t>HERRLJUNGA</t>
        </is>
      </c>
      <c r="G717" t="n">
        <v>7.4</v>
      </c>
      <c r="H717" t="n">
        <v>0</v>
      </c>
      <c r="I717" t="n">
        <v>0</v>
      </c>
      <c r="J717" t="n">
        <v>0</v>
      </c>
      <c r="K717" t="n">
        <v>0</v>
      </c>
      <c r="L717" t="n">
        <v>0</v>
      </c>
      <c r="M717" t="n">
        <v>0</v>
      </c>
      <c r="N717" t="n">
        <v>0</v>
      </c>
      <c r="O717" t="n">
        <v>0</v>
      </c>
      <c r="P717" t="n">
        <v>0</v>
      </c>
      <c r="Q717" t="n">
        <v>0</v>
      </c>
      <c r="R717" s="2" t="inlineStr"/>
    </row>
    <row r="718" ht="15" customHeight="1">
      <c r="A718" t="inlineStr">
        <is>
          <t>A 45459-2018</t>
        </is>
      </c>
      <c r="B718" s="1" t="n">
        <v>43363</v>
      </c>
      <c r="C718" s="1" t="n">
        <v>45227</v>
      </c>
      <c r="D718" t="inlineStr">
        <is>
          <t>VÄSTRA GÖTALANDS LÄN</t>
        </is>
      </c>
      <c r="E718" t="inlineStr">
        <is>
          <t>GULLSPÅNG</t>
        </is>
      </c>
      <c r="G718" t="n">
        <v>4</v>
      </c>
      <c r="H718" t="n">
        <v>0</v>
      </c>
      <c r="I718" t="n">
        <v>0</v>
      </c>
      <c r="J718" t="n">
        <v>0</v>
      </c>
      <c r="K718" t="n">
        <v>0</v>
      </c>
      <c r="L718" t="n">
        <v>0</v>
      </c>
      <c r="M718" t="n">
        <v>0</v>
      </c>
      <c r="N718" t="n">
        <v>0</v>
      </c>
      <c r="O718" t="n">
        <v>0</v>
      </c>
      <c r="P718" t="n">
        <v>0</v>
      </c>
      <c r="Q718" t="n">
        <v>0</v>
      </c>
      <c r="R718" s="2" t="inlineStr"/>
    </row>
    <row r="719" ht="15" customHeight="1">
      <c r="A719" t="inlineStr">
        <is>
          <t>A 46343-2018</t>
        </is>
      </c>
      <c r="B719" s="1" t="n">
        <v>43363</v>
      </c>
      <c r="C719" s="1" t="n">
        <v>45227</v>
      </c>
      <c r="D719" t="inlineStr">
        <is>
          <t>VÄSTRA GÖTALANDS LÄN</t>
        </is>
      </c>
      <c r="E719" t="inlineStr">
        <is>
          <t>MUNKEDAL</t>
        </is>
      </c>
      <c r="F719" t="inlineStr">
        <is>
          <t>Kommuner</t>
        </is>
      </c>
      <c r="G719" t="n">
        <v>0.8</v>
      </c>
      <c r="H719" t="n">
        <v>0</v>
      </c>
      <c r="I719" t="n">
        <v>0</v>
      </c>
      <c r="J719" t="n">
        <v>0</v>
      </c>
      <c r="K719" t="n">
        <v>0</v>
      </c>
      <c r="L719" t="n">
        <v>0</v>
      </c>
      <c r="M719" t="n">
        <v>0</v>
      </c>
      <c r="N719" t="n">
        <v>0</v>
      </c>
      <c r="O719" t="n">
        <v>0</v>
      </c>
      <c r="P719" t="n">
        <v>0</v>
      </c>
      <c r="Q719" t="n">
        <v>0</v>
      </c>
      <c r="R719" s="2" t="inlineStr"/>
    </row>
    <row r="720" ht="15" customHeight="1">
      <c r="A720" t="inlineStr">
        <is>
          <t>A 45264-2018</t>
        </is>
      </c>
      <c r="B720" s="1" t="n">
        <v>43363</v>
      </c>
      <c r="C720" s="1" t="n">
        <v>45227</v>
      </c>
      <c r="D720" t="inlineStr">
        <is>
          <t>VÄSTRA GÖTALANDS LÄN</t>
        </is>
      </c>
      <c r="E720" t="inlineStr">
        <is>
          <t>ULRICEHAMN</t>
        </is>
      </c>
      <c r="G720" t="n">
        <v>0.7</v>
      </c>
      <c r="H720" t="n">
        <v>0</v>
      </c>
      <c r="I720" t="n">
        <v>0</v>
      </c>
      <c r="J720" t="n">
        <v>0</v>
      </c>
      <c r="K720" t="n">
        <v>0</v>
      </c>
      <c r="L720" t="n">
        <v>0</v>
      </c>
      <c r="M720" t="n">
        <v>0</v>
      </c>
      <c r="N720" t="n">
        <v>0</v>
      </c>
      <c r="O720" t="n">
        <v>0</v>
      </c>
      <c r="P720" t="n">
        <v>0</v>
      </c>
      <c r="Q720" t="n">
        <v>0</v>
      </c>
      <c r="R720" s="2" t="inlineStr"/>
    </row>
    <row r="721" ht="15" customHeight="1">
      <c r="A721" t="inlineStr">
        <is>
          <t>A 45466-2018</t>
        </is>
      </c>
      <c r="B721" s="1" t="n">
        <v>43363</v>
      </c>
      <c r="C721" s="1" t="n">
        <v>45227</v>
      </c>
      <c r="D721" t="inlineStr">
        <is>
          <t>VÄSTRA GÖTALANDS LÄN</t>
        </is>
      </c>
      <c r="E721" t="inlineStr">
        <is>
          <t>GULLSPÅNG</t>
        </is>
      </c>
      <c r="G721" t="n">
        <v>2.3</v>
      </c>
      <c r="H721" t="n">
        <v>0</v>
      </c>
      <c r="I721" t="n">
        <v>0</v>
      </c>
      <c r="J721" t="n">
        <v>0</v>
      </c>
      <c r="K721" t="n">
        <v>0</v>
      </c>
      <c r="L721" t="n">
        <v>0</v>
      </c>
      <c r="M721" t="n">
        <v>0</v>
      </c>
      <c r="N721" t="n">
        <v>0</v>
      </c>
      <c r="O721" t="n">
        <v>0</v>
      </c>
      <c r="P721" t="n">
        <v>0</v>
      </c>
      <c r="Q721" t="n">
        <v>0</v>
      </c>
      <c r="R721" s="2" t="inlineStr"/>
    </row>
    <row r="722" ht="15" customHeight="1">
      <c r="A722" t="inlineStr">
        <is>
          <t>A 46348-2018</t>
        </is>
      </c>
      <c r="B722" s="1" t="n">
        <v>43363</v>
      </c>
      <c r="C722" s="1" t="n">
        <v>45227</v>
      </c>
      <c r="D722" t="inlineStr">
        <is>
          <t>VÄSTRA GÖTALANDS LÄN</t>
        </is>
      </c>
      <c r="E722" t="inlineStr">
        <is>
          <t>MUNKEDAL</t>
        </is>
      </c>
      <c r="F722" t="inlineStr">
        <is>
          <t>Kommuner</t>
        </is>
      </c>
      <c r="G722" t="n">
        <v>5.5</v>
      </c>
      <c r="H722" t="n">
        <v>0</v>
      </c>
      <c r="I722" t="n">
        <v>0</v>
      </c>
      <c r="J722" t="n">
        <v>0</v>
      </c>
      <c r="K722" t="n">
        <v>0</v>
      </c>
      <c r="L722" t="n">
        <v>0</v>
      </c>
      <c r="M722" t="n">
        <v>0</v>
      </c>
      <c r="N722" t="n">
        <v>0</v>
      </c>
      <c r="O722" t="n">
        <v>0</v>
      </c>
      <c r="P722" t="n">
        <v>0</v>
      </c>
      <c r="Q722" t="n">
        <v>0</v>
      </c>
      <c r="R722" s="2" t="inlineStr"/>
    </row>
    <row r="723" ht="15" customHeight="1">
      <c r="A723" t="inlineStr">
        <is>
          <t>A 46257-2018</t>
        </is>
      </c>
      <c r="B723" s="1" t="n">
        <v>43364</v>
      </c>
      <c r="C723" s="1" t="n">
        <v>45227</v>
      </c>
      <c r="D723" t="inlineStr">
        <is>
          <t>VÄSTRA GÖTALANDS LÄN</t>
        </is>
      </c>
      <c r="E723" t="inlineStr">
        <is>
          <t>GÖTENE</t>
        </is>
      </c>
      <c r="G723" t="n">
        <v>0.6</v>
      </c>
      <c r="H723" t="n">
        <v>0</v>
      </c>
      <c r="I723" t="n">
        <v>0</v>
      </c>
      <c r="J723" t="n">
        <v>0</v>
      </c>
      <c r="K723" t="n">
        <v>0</v>
      </c>
      <c r="L723" t="n">
        <v>0</v>
      </c>
      <c r="M723" t="n">
        <v>0</v>
      </c>
      <c r="N723" t="n">
        <v>0</v>
      </c>
      <c r="O723" t="n">
        <v>0</v>
      </c>
      <c r="P723" t="n">
        <v>0</v>
      </c>
      <c r="Q723" t="n">
        <v>0</v>
      </c>
      <c r="R723" s="2" t="inlineStr"/>
    </row>
    <row r="724" ht="15" customHeight="1">
      <c r="A724" t="inlineStr">
        <is>
          <t>A 46714-2018</t>
        </is>
      </c>
      <c r="B724" s="1" t="n">
        <v>43364</v>
      </c>
      <c r="C724" s="1" t="n">
        <v>45227</v>
      </c>
      <c r="D724" t="inlineStr">
        <is>
          <t>VÄSTRA GÖTALANDS LÄN</t>
        </is>
      </c>
      <c r="E724" t="inlineStr">
        <is>
          <t>HJO</t>
        </is>
      </c>
      <c r="G724" t="n">
        <v>10.5</v>
      </c>
      <c r="H724" t="n">
        <v>0</v>
      </c>
      <c r="I724" t="n">
        <v>0</v>
      </c>
      <c r="J724" t="n">
        <v>0</v>
      </c>
      <c r="K724" t="n">
        <v>0</v>
      </c>
      <c r="L724" t="n">
        <v>0</v>
      </c>
      <c r="M724" t="n">
        <v>0</v>
      </c>
      <c r="N724" t="n">
        <v>0</v>
      </c>
      <c r="O724" t="n">
        <v>0</v>
      </c>
      <c r="P724" t="n">
        <v>0</v>
      </c>
      <c r="Q724" t="n">
        <v>0</v>
      </c>
      <c r="R724" s="2" t="inlineStr"/>
    </row>
    <row r="725" ht="15" customHeight="1">
      <c r="A725" t="inlineStr">
        <is>
          <t>A 45796-2018</t>
        </is>
      </c>
      <c r="B725" s="1" t="n">
        <v>43364</v>
      </c>
      <c r="C725" s="1" t="n">
        <v>45227</v>
      </c>
      <c r="D725" t="inlineStr">
        <is>
          <t>VÄSTRA GÖTALANDS LÄN</t>
        </is>
      </c>
      <c r="E725" t="inlineStr">
        <is>
          <t>BORÅS</t>
        </is>
      </c>
      <c r="G725" t="n">
        <v>3.2</v>
      </c>
      <c r="H725" t="n">
        <v>0</v>
      </c>
      <c r="I725" t="n">
        <v>0</v>
      </c>
      <c r="J725" t="n">
        <v>0</v>
      </c>
      <c r="K725" t="n">
        <v>0</v>
      </c>
      <c r="L725" t="n">
        <v>0</v>
      </c>
      <c r="M725" t="n">
        <v>0</v>
      </c>
      <c r="N725" t="n">
        <v>0</v>
      </c>
      <c r="O725" t="n">
        <v>0</v>
      </c>
      <c r="P725" t="n">
        <v>0</v>
      </c>
      <c r="Q725" t="n">
        <v>0</v>
      </c>
      <c r="R725" s="2" t="inlineStr"/>
    </row>
    <row r="726" ht="15" customHeight="1">
      <c r="A726" t="inlineStr">
        <is>
          <t>A 45970-2018</t>
        </is>
      </c>
      <c r="B726" s="1" t="n">
        <v>43364</v>
      </c>
      <c r="C726" s="1" t="n">
        <v>45227</v>
      </c>
      <c r="D726" t="inlineStr">
        <is>
          <t>VÄSTRA GÖTALANDS LÄN</t>
        </is>
      </c>
      <c r="E726" t="inlineStr">
        <is>
          <t>MARK</t>
        </is>
      </c>
      <c r="G726" t="n">
        <v>1.1</v>
      </c>
      <c r="H726" t="n">
        <v>0</v>
      </c>
      <c r="I726" t="n">
        <v>0</v>
      </c>
      <c r="J726" t="n">
        <v>0</v>
      </c>
      <c r="K726" t="n">
        <v>0</v>
      </c>
      <c r="L726" t="n">
        <v>0</v>
      </c>
      <c r="M726" t="n">
        <v>0</v>
      </c>
      <c r="N726" t="n">
        <v>0</v>
      </c>
      <c r="O726" t="n">
        <v>0</v>
      </c>
      <c r="P726" t="n">
        <v>0</v>
      </c>
      <c r="Q726" t="n">
        <v>0</v>
      </c>
      <c r="R726" s="2" t="inlineStr"/>
    </row>
    <row r="727" ht="15" customHeight="1">
      <c r="A727" t="inlineStr">
        <is>
          <t>A 46285-2018</t>
        </is>
      </c>
      <c r="B727" s="1" t="n">
        <v>43364</v>
      </c>
      <c r="C727" s="1" t="n">
        <v>45227</v>
      </c>
      <c r="D727" t="inlineStr">
        <is>
          <t>VÄSTRA GÖTALANDS LÄN</t>
        </is>
      </c>
      <c r="E727" t="inlineStr">
        <is>
          <t>BENGTSFORS</t>
        </is>
      </c>
      <c r="G727" t="n">
        <v>3.2</v>
      </c>
      <c r="H727" t="n">
        <v>0</v>
      </c>
      <c r="I727" t="n">
        <v>0</v>
      </c>
      <c r="J727" t="n">
        <v>0</v>
      </c>
      <c r="K727" t="n">
        <v>0</v>
      </c>
      <c r="L727" t="n">
        <v>0</v>
      </c>
      <c r="M727" t="n">
        <v>0</v>
      </c>
      <c r="N727" t="n">
        <v>0</v>
      </c>
      <c r="O727" t="n">
        <v>0</v>
      </c>
      <c r="P727" t="n">
        <v>0</v>
      </c>
      <c r="Q727" t="n">
        <v>0</v>
      </c>
      <c r="R727" s="2" t="inlineStr"/>
    </row>
    <row r="728" ht="15" customHeight="1">
      <c r="A728" t="inlineStr">
        <is>
          <t>A 46703-2018</t>
        </is>
      </c>
      <c r="B728" s="1" t="n">
        <v>43364</v>
      </c>
      <c r="C728" s="1" t="n">
        <v>45227</v>
      </c>
      <c r="D728" t="inlineStr">
        <is>
          <t>VÄSTRA GÖTALANDS LÄN</t>
        </is>
      </c>
      <c r="E728" t="inlineStr">
        <is>
          <t>BENGTSFORS</t>
        </is>
      </c>
      <c r="F728" t="inlineStr">
        <is>
          <t>Övriga Aktiebolag</t>
        </is>
      </c>
      <c r="G728" t="n">
        <v>38.5</v>
      </c>
      <c r="H728" t="n">
        <v>0</v>
      </c>
      <c r="I728" t="n">
        <v>0</v>
      </c>
      <c r="J728" t="n">
        <v>0</v>
      </c>
      <c r="K728" t="n">
        <v>0</v>
      </c>
      <c r="L728" t="n">
        <v>0</v>
      </c>
      <c r="M728" t="n">
        <v>0</v>
      </c>
      <c r="N728" t="n">
        <v>0</v>
      </c>
      <c r="O728" t="n">
        <v>0</v>
      </c>
      <c r="P728" t="n">
        <v>0</v>
      </c>
      <c r="Q728" t="n">
        <v>0</v>
      </c>
      <c r="R728" s="2" t="inlineStr"/>
    </row>
    <row r="729" ht="15" customHeight="1">
      <c r="A729" t="inlineStr">
        <is>
          <t>A 45966-2018</t>
        </is>
      </c>
      <c r="B729" s="1" t="n">
        <v>43364</v>
      </c>
      <c r="C729" s="1" t="n">
        <v>45227</v>
      </c>
      <c r="D729" t="inlineStr">
        <is>
          <t>VÄSTRA GÖTALANDS LÄN</t>
        </is>
      </c>
      <c r="E729" t="inlineStr">
        <is>
          <t>MARK</t>
        </is>
      </c>
      <c r="G729" t="n">
        <v>1.7</v>
      </c>
      <c r="H729" t="n">
        <v>0</v>
      </c>
      <c r="I729" t="n">
        <v>0</v>
      </c>
      <c r="J729" t="n">
        <v>0</v>
      </c>
      <c r="K729" t="n">
        <v>0</v>
      </c>
      <c r="L729" t="n">
        <v>0</v>
      </c>
      <c r="M729" t="n">
        <v>0</v>
      </c>
      <c r="N729" t="n">
        <v>0</v>
      </c>
      <c r="O729" t="n">
        <v>0</v>
      </c>
      <c r="P729" t="n">
        <v>0</v>
      </c>
      <c r="Q729" t="n">
        <v>0</v>
      </c>
      <c r="R729" s="2" t="inlineStr"/>
    </row>
    <row r="730" ht="15" customHeight="1">
      <c r="A730" t="inlineStr">
        <is>
          <t>A 46593-2018</t>
        </is>
      </c>
      <c r="B730" s="1" t="n">
        <v>43364</v>
      </c>
      <c r="C730" s="1" t="n">
        <v>45227</v>
      </c>
      <c r="D730" t="inlineStr">
        <is>
          <t>VÄSTRA GÖTALANDS LÄN</t>
        </is>
      </c>
      <c r="E730" t="inlineStr">
        <is>
          <t>TIDAHOLM</t>
        </is>
      </c>
      <c r="G730" t="n">
        <v>2.8</v>
      </c>
      <c r="H730" t="n">
        <v>0</v>
      </c>
      <c r="I730" t="n">
        <v>0</v>
      </c>
      <c r="J730" t="n">
        <v>0</v>
      </c>
      <c r="K730" t="n">
        <v>0</v>
      </c>
      <c r="L730" t="n">
        <v>0</v>
      </c>
      <c r="M730" t="n">
        <v>0</v>
      </c>
      <c r="N730" t="n">
        <v>0</v>
      </c>
      <c r="O730" t="n">
        <v>0</v>
      </c>
      <c r="P730" t="n">
        <v>0</v>
      </c>
      <c r="Q730" t="n">
        <v>0</v>
      </c>
      <c r="R730" s="2" t="inlineStr"/>
    </row>
    <row r="731" ht="15" customHeight="1">
      <c r="A731" t="inlineStr">
        <is>
          <t>A 46776-2018</t>
        </is>
      </c>
      <c r="B731" s="1" t="n">
        <v>43367</v>
      </c>
      <c r="C731" s="1" t="n">
        <v>45227</v>
      </c>
      <c r="D731" t="inlineStr">
        <is>
          <t>VÄSTRA GÖTALANDS LÄN</t>
        </is>
      </c>
      <c r="E731" t="inlineStr">
        <is>
          <t>TANUM</t>
        </is>
      </c>
      <c r="G731" t="n">
        <v>1</v>
      </c>
      <c r="H731" t="n">
        <v>0</v>
      </c>
      <c r="I731" t="n">
        <v>0</v>
      </c>
      <c r="J731" t="n">
        <v>0</v>
      </c>
      <c r="K731" t="n">
        <v>0</v>
      </c>
      <c r="L731" t="n">
        <v>0</v>
      </c>
      <c r="M731" t="n">
        <v>0</v>
      </c>
      <c r="N731" t="n">
        <v>0</v>
      </c>
      <c r="O731" t="n">
        <v>0</v>
      </c>
      <c r="P731" t="n">
        <v>0</v>
      </c>
      <c r="Q731" t="n">
        <v>0</v>
      </c>
      <c r="R731" s="2" t="inlineStr"/>
    </row>
    <row r="732" ht="15" customHeight="1">
      <c r="A732" t="inlineStr">
        <is>
          <t>A 46073-2018</t>
        </is>
      </c>
      <c r="B732" s="1" t="n">
        <v>43367</v>
      </c>
      <c r="C732" s="1" t="n">
        <v>45227</v>
      </c>
      <c r="D732" t="inlineStr">
        <is>
          <t>VÄSTRA GÖTALANDS LÄN</t>
        </is>
      </c>
      <c r="E732" t="inlineStr">
        <is>
          <t>MARK</t>
        </is>
      </c>
      <c r="G732" t="n">
        <v>1.9</v>
      </c>
      <c r="H732" t="n">
        <v>0</v>
      </c>
      <c r="I732" t="n">
        <v>0</v>
      </c>
      <c r="J732" t="n">
        <v>0</v>
      </c>
      <c r="K732" t="n">
        <v>0</v>
      </c>
      <c r="L732" t="n">
        <v>0</v>
      </c>
      <c r="M732" t="n">
        <v>0</v>
      </c>
      <c r="N732" t="n">
        <v>0</v>
      </c>
      <c r="O732" t="n">
        <v>0</v>
      </c>
      <c r="P732" t="n">
        <v>0</v>
      </c>
      <c r="Q732" t="n">
        <v>0</v>
      </c>
      <c r="R732" s="2" t="inlineStr"/>
    </row>
    <row r="733" ht="15" customHeight="1">
      <c r="A733" t="inlineStr">
        <is>
          <t>A 46878-2018</t>
        </is>
      </c>
      <c r="B733" s="1" t="n">
        <v>43367</v>
      </c>
      <c r="C733" s="1" t="n">
        <v>45227</v>
      </c>
      <c r="D733" t="inlineStr">
        <is>
          <t>VÄSTRA GÖTALANDS LÄN</t>
        </is>
      </c>
      <c r="E733" t="inlineStr">
        <is>
          <t>BORÅS</t>
        </is>
      </c>
      <c r="F733" t="inlineStr">
        <is>
          <t>Kommuner</t>
        </is>
      </c>
      <c r="G733" t="n">
        <v>0.8</v>
      </c>
      <c r="H733" t="n">
        <v>0</v>
      </c>
      <c r="I733" t="n">
        <v>0</v>
      </c>
      <c r="J733" t="n">
        <v>0</v>
      </c>
      <c r="K733" t="n">
        <v>0</v>
      </c>
      <c r="L733" t="n">
        <v>0</v>
      </c>
      <c r="M733" t="n">
        <v>0</v>
      </c>
      <c r="N733" t="n">
        <v>0</v>
      </c>
      <c r="O733" t="n">
        <v>0</v>
      </c>
      <c r="P733" t="n">
        <v>0</v>
      </c>
      <c r="Q733" t="n">
        <v>0</v>
      </c>
      <c r="R733" s="2" t="inlineStr"/>
    </row>
    <row r="734" ht="15" customHeight="1">
      <c r="A734" t="inlineStr">
        <is>
          <t>A 46085-2018</t>
        </is>
      </c>
      <c r="B734" s="1" t="n">
        <v>43367</v>
      </c>
      <c r="C734" s="1" t="n">
        <v>45227</v>
      </c>
      <c r="D734" t="inlineStr">
        <is>
          <t>VÄSTRA GÖTALANDS LÄN</t>
        </is>
      </c>
      <c r="E734" t="inlineStr">
        <is>
          <t>MARK</t>
        </is>
      </c>
      <c r="G734" t="n">
        <v>2.1</v>
      </c>
      <c r="H734" t="n">
        <v>0</v>
      </c>
      <c r="I734" t="n">
        <v>0</v>
      </c>
      <c r="J734" t="n">
        <v>0</v>
      </c>
      <c r="K734" t="n">
        <v>0</v>
      </c>
      <c r="L734" t="n">
        <v>0</v>
      </c>
      <c r="M734" t="n">
        <v>0</v>
      </c>
      <c r="N734" t="n">
        <v>0</v>
      </c>
      <c r="O734" t="n">
        <v>0</v>
      </c>
      <c r="P734" t="n">
        <v>0</v>
      </c>
      <c r="Q734" t="n">
        <v>0</v>
      </c>
      <c r="R734" s="2" t="inlineStr"/>
    </row>
    <row r="735" ht="15" customHeight="1">
      <c r="A735" t="inlineStr">
        <is>
          <t>A 46422-2018</t>
        </is>
      </c>
      <c r="B735" s="1" t="n">
        <v>43367</v>
      </c>
      <c r="C735" s="1" t="n">
        <v>45227</v>
      </c>
      <c r="D735" t="inlineStr">
        <is>
          <t>VÄSTRA GÖTALANDS LÄN</t>
        </is>
      </c>
      <c r="E735" t="inlineStr">
        <is>
          <t>TRANEMO</t>
        </is>
      </c>
      <c r="G735" t="n">
        <v>5.8</v>
      </c>
      <c r="H735" t="n">
        <v>0</v>
      </c>
      <c r="I735" t="n">
        <v>0</v>
      </c>
      <c r="J735" t="n">
        <v>0</v>
      </c>
      <c r="K735" t="n">
        <v>0</v>
      </c>
      <c r="L735" t="n">
        <v>0</v>
      </c>
      <c r="M735" t="n">
        <v>0</v>
      </c>
      <c r="N735" t="n">
        <v>0</v>
      </c>
      <c r="O735" t="n">
        <v>0</v>
      </c>
      <c r="P735" t="n">
        <v>0</v>
      </c>
      <c r="Q735" t="n">
        <v>0</v>
      </c>
      <c r="R735" s="2" t="inlineStr"/>
    </row>
    <row r="736" ht="15" customHeight="1">
      <c r="A736" t="inlineStr">
        <is>
          <t>A 46219-2018</t>
        </is>
      </c>
      <c r="B736" s="1" t="n">
        <v>43367</v>
      </c>
      <c r="C736" s="1" t="n">
        <v>45227</v>
      </c>
      <c r="D736" t="inlineStr">
        <is>
          <t>VÄSTRA GÖTALANDS LÄN</t>
        </is>
      </c>
      <c r="E736" t="inlineStr">
        <is>
          <t>SOTENÄS</t>
        </is>
      </c>
      <c r="G736" t="n">
        <v>10</v>
      </c>
      <c r="H736" t="n">
        <v>0</v>
      </c>
      <c r="I736" t="n">
        <v>0</v>
      </c>
      <c r="J736" t="n">
        <v>0</v>
      </c>
      <c r="K736" t="n">
        <v>0</v>
      </c>
      <c r="L736" t="n">
        <v>0</v>
      </c>
      <c r="M736" t="n">
        <v>0</v>
      </c>
      <c r="N736" t="n">
        <v>0</v>
      </c>
      <c r="O736" t="n">
        <v>0</v>
      </c>
      <c r="P736" t="n">
        <v>0</v>
      </c>
      <c r="Q736" t="n">
        <v>0</v>
      </c>
      <c r="R736" s="2" t="inlineStr"/>
    </row>
    <row r="737" ht="15" customHeight="1">
      <c r="A737" t="inlineStr">
        <is>
          <t>A 46353-2018</t>
        </is>
      </c>
      <c r="B737" s="1" t="n">
        <v>43367</v>
      </c>
      <c r="C737" s="1" t="n">
        <v>45227</v>
      </c>
      <c r="D737" t="inlineStr">
        <is>
          <t>VÄSTRA GÖTALANDS LÄN</t>
        </is>
      </c>
      <c r="E737" t="inlineStr">
        <is>
          <t>ALE</t>
        </is>
      </c>
      <c r="G737" t="n">
        <v>1</v>
      </c>
      <c r="H737" t="n">
        <v>0</v>
      </c>
      <c r="I737" t="n">
        <v>0</v>
      </c>
      <c r="J737" t="n">
        <v>0</v>
      </c>
      <c r="K737" t="n">
        <v>0</v>
      </c>
      <c r="L737" t="n">
        <v>0</v>
      </c>
      <c r="M737" t="n">
        <v>0</v>
      </c>
      <c r="N737" t="n">
        <v>0</v>
      </c>
      <c r="O737" t="n">
        <v>0</v>
      </c>
      <c r="P737" t="n">
        <v>0</v>
      </c>
      <c r="Q737" t="n">
        <v>0</v>
      </c>
      <c r="R737" s="2" t="inlineStr"/>
    </row>
    <row r="738" ht="15" customHeight="1">
      <c r="A738" t="inlineStr">
        <is>
          <t>A 46879-2018</t>
        </is>
      </c>
      <c r="B738" s="1" t="n">
        <v>43367</v>
      </c>
      <c r="C738" s="1" t="n">
        <v>45227</v>
      </c>
      <c r="D738" t="inlineStr">
        <is>
          <t>VÄSTRA GÖTALANDS LÄN</t>
        </is>
      </c>
      <c r="E738" t="inlineStr">
        <is>
          <t>BORÅS</t>
        </is>
      </c>
      <c r="F738" t="inlineStr">
        <is>
          <t>Kommuner</t>
        </is>
      </c>
      <c r="G738" t="n">
        <v>1.8</v>
      </c>
      <c r="H738" t="n">
        <v>0</v>
      </c>
      <c r="I738" t="n">
        <v>0</v>
      </c>
      <c r="J738" t="n">
        <v>0</v>
      </c>
      <c r="K738" t="n">
        <v>0</v>
      </c>
      <c r="L738" t="n">
        <v>0</v>
      </c>
      <c r="M738" t="n">
        <v>0</v>
      </c>
      <c r="N738" t="n">
        <v>0</v>
      </c>
      <c r="O738" t="n">
        <v>0</v>
      </c>
      <c r="P738" t="n">
        <v>0</v>
      </c>
      <c r="Q738" t="n">
        <v>0</v>
      </c>
      <c r="R738" s="2" t="inlineStr"/>
    </row>
    <row r="739" ht="15" customHeight="1">
      <c r="A739" t="inlineStr">
        <is>
          <t>A 47070-2018</t>
        </is>
      </c>
      <c r="B739" s="1" t="n">
        <v>43367</v>
      </c>
      <c r="C739" s="1" t="n">
        <v>45227</v>
      </c>
      <c r="D739" t="inlineStr">
        <is>
          <t>VÄSTRA GÖTALANDS LÄN</t>
        </is>
      </c>
      <c r="E739" t="inlineStr">
        <is>
          <t>GULLSPÅNG</t>
        </is>
      </c>
      <c r="G739" t="n">
        <v>1.2</v>
      </c>
      <c r="H739" t="n">
        <v>0</v>
      </c>
      <c r="I739" t="n">
        <v>0</v>
      </c>
      <c r="J739" t="n">
        <v>0</v>
      </c>
      <c r="K739" t="n">
        <v>0</v>
      </c>
      <c r="L739" t="n">
        <v>0</v>
      </c>
      <c r="M739" t="n">
        <v>0</v>
      </c>
      <c r="N739" t="n">
        <v>0</v>
      </c>
      <c r="O739" t="n">
        <v>0</v>
      </c>
      <c r="P739" t="n">
        <v>0</v>
      </c>
      <c r="Q739" t="n">
        <v>0</v>
      </c>
      <c r="R739" s="2" t="inlineStr"/>
    </row>
    <row r="740" ht="15" customHeight="1">
      <c r="A740" t="inlineStr">
        <is>
          <t>A 47122-2018</t>
        </is>
      </c>
      <c r="B740" s="1" t="n">
        <v>43367</v>
      </c>
      <c r="C740" s="1" t="n">
        <v>45227</v>
      </c>
      <c r="D740" t="inlineStr">
        <is>
          <t>VÄSTRA GÖTALANDS LÄN</t>
        </is>
      </c>
      <c r="E740" t="inlineStr">
        <is>
          <t>BORÅS</t>
        </is>
      </c>
      <c r="F740" t="inlineStr">
        <is>
          <t>Kommuner</t>
        </is>
      </c>
      <c r="G740" t="n">
        <v>6</v>
      </c>
      <c r="H740" t="n">
        <v>0</v>
      </c>
      <c r="I740" t="n">
        <v>0</v>
      </c>
      <c r="J740" t="n">
        <v>0</v>
      </c>
      <c r="K740" t="n">
        <v>0</v>
      </c>
      <c r="L740" t="n">
        <v>0</v>
      </c>
      <c r="M740" t="n">
        <v>0</v>
      </c>
      <c r="N740" t="n">
        <v>0</v>
      </c>
      <c r="O740" t="n">
        <v>0</v>
      </c>
      <c r="P740" t="n">
        <v>0</v>
      </c>
      <c r="Q740" t="n">
        <v>0</v>
      </c>
      <c r="R740" s="2" t="inlineStr"/>
    </row>
    <row r="741" ht="15" customHeight="1">
      <c r="A741" t="inlineStr">
        <is>
          <t>A 47076-2018</t>
        </is>
      </c>
      <c r="B741" s="1" t="n">
        <v>43368</v>
      </c>
      <c r="C741" s="1" t="n">
        <v>45227</v>
      </c>
      <c r="D741" t="inlineStr">
        <is>
          <t>VÄSTRA GÖTALANDS LÄN</t>
        </is>
      </c>
      <c r="E741" t="inlineStr">
        <is>
          <t>FALKÖPING</t>
        </is>
      </c>
      <c r="G741" t="n">
        <v>1.6</v>
      </c>
      <c r="H741" t="n">
        <v>0</v>
      </c>
      <c r="I741" t="n">
        <v>0</v>
      </c>
      <c r="J741" t="n">
        <v>0</v>
      </c>
      <c r="K741" t="n">
        <v>0</v>
      </c>
      <c r="L741" t="n">
        <v>0</v>
      </c>
      <c r="M741" t="n">
        <v>0</v>
      </c>
      <c r="N741" t="n">
        <v>0</v>
      </c>
      <c r="O741" t="n">
        <v>0</v>
      </c>
      <c r="P741" t="n">
        <v>0</v>
      </c>
      <c r="Q741" t="n">
        <v>0</v>
      </c>
      <c r="R741" s="2" t="inlineStr"/>
    </row>
    <row r="742" ht="15" customHeight="1">
      <c r="A742" t="inlineStr">
        <is>
          <t>A 46578-2018</t>
        </is>
      </c>
      <c r="B742" s="1" t="n">
        <v>43368</v>
      </c>
      <c r="C742" s="1" t="n">
        <v>45227</v>
      </c>
      <c r="D742" t="inlineStr">
        <is>
          <t>VÄSTRA GÖTALANDS LÄN</t>
        </is>
      </c>
      <c r="E742" t="inlineStr">
        <is>
          <t>BORÅS</t>
        </is>
      </c>
      <c r="G742" t="n">
        <v>6.1</v>
      </c>
      <c r="H742" t="n">
        <v>0</v>
      </c>
      <c r="I742" t="n">
        <v>0</v>
      </c>
      <c r="J742" t="n">
        <v>0</v>
      </c>
      <c r="K742" t="n">
        <v>0</v>
      </c>
      <c r="L742" t="n">
        <v>0</v>
      </c>
      <c r="M742" t="n">
        <v>0</v>
      </c>
      <c r="N742" t="n">
        <v>0</v>
      </c>
      <c r="O742" t="n">
        <v>0</v>
      </c>
      <c r="P742" t="n">
        <v>0</v>
      </c>
      <c r="Q742" t="n">
        <v>0</v>
      </c>
      <c r="R742" s="2" t="inlineStr"/>
    </row>
    <row r="743" ht="15" customHeight="1">
      <c r="A743" t="inlineStr">
        <is>
          <t>A 47050-2018</t>
        </is>
      </c>
      <c r="B743" s="1" t="n">
        <v>43368</v>
      </c>
      <c r="C743" s="1" t="n">
        <v>45227</v>
      </c>
      <c r="D743" t="inlineStr">
        <is>
          <t>VÄSTRA GÖTALANDS LÄN</t>
        </is>
      </c>
      <c r="E743" t="inlineStr">
        <is>
          <t>FALKÖPING</t>
        </is>
      </c>
      <c r="G743" t="n">
        <v>2.4</v>
      </c>
      <c r="H743" t="n">
        <v>0</v>
      </c>
      <c r="I743" t="n">
        <v>0</v>
      </c>
      <c r="J743" t="n">
        <v>0</v>
      </c>
      <c r="K743" t="n">
        <v>0</v>
      </c>
      <c r="L743" t="n">
        <v>0</v>
      </c>
      <c r="M743" t="n">
        <v>0</v>
      </c>
      <c r="N743" t="n">
        <v>0</v>
      </c>
      <c r="O743" t="n">
        <v>0</v>
      </c>
      <c r="P743" t="n">
        <v>0</v>
      </c>
      <c r="Q743" t="n">
        <v>0</v>
      </c>
      <c r="R743" s="2" t="inlineStr"/>
    </row>
    <row r="744" ht="15" customHeight="1">
      <c r="A744" t="inlineStr">
        <is>
          <t>A 47120-2018</t>
        </is>
      </c>
      <c r="B744" s="1" t="n">
        <v>43368</v>
      </c>
      <c r="C744" s="1" t="n">
        <v>45227</v>
      </c>
      <c r="D744" t="inlineStr">
        <is>
          <t>VÄSTRA GÖTALANDS LÄN</t>
        </is>
      </c>
      <c r="E744" t="inlineStr">
        <is>
          <t>FALKÖPING</t>
        </is>
      </c>
      <c r="G744" t="n">
        <v>1.2</v>
      </c>
      <c r="H744" t="n">
        <v>0</v>
      </c>
      <c r="I744" t="n">
        <v>0</v>
      </c>
      <c r="J744" t="n">
        <v>0</v>
      </c>
      <c r="K744" t="n">
        <v>0</v>
      </c>
      <c r="L744" t="n">
        <v>0</v>
      </c>
      <c r="M744" t="n">
        <v>0</v>
      </c>
      <c r="N744" t="n">
        <v>0</v>
      </c>
      <c r="O744" t="n">
        <v>0</v>
      </c>
      <c r="P744" t="n">
        <v>0</v>
      </c>
      <c r="Q744" t="n">
        <v>0</v>
      </c>
      <c r="R744" s="2" t="inlineStr"/>
    </row>
    <row r="745" ht="15" customHeight="1">
      <c r="A745" t="inlineStr">
        <is>
          <t>A 47027-2018</t>
        </is>
      </c>
      <c r="B745" s="1" t="n">
        <v>43368</v>
      </c>
      <c r="C745" s="1" t="n">
        <v>45227</v>
      </c>
      <c r="D745" t="inlineStr">
        <is>
          <t>VÄSTRA GÖTALANDS LÄN</t>
        </is>
      </c>
      <c r="E745" t="inlineStr">
        <is>
          <t>FALKÖPING</t>
        </is>
      </c>
      <c r="G745" t="n">
        <v>4.4</v>
      </c>
      <c r="H745" t="n">
        <v>0</v>
      </c>
      <c r="I745" t="n">
        <v>0</v>
      </c>
      <c r="J745" t="n">
        <v>0</v>
      </c>
      <c r="K745" t="n">
        <v>0</v>
      </c>
      <c r="L745" t="n">
        <v>0</v>
      </c>
      <c r="M745" t="n">
        <v>0</v>
      </c>
      <c r="N745" t="n">
        <v>0</v>
      </c>
      <c r="O745" t="n">
        <v>0</v>
      </c>
      <c r="P745" t="n">
        <v>0</v>
      </c>
      <c r="Q745" t="n">
        <v>0</v>
      </c>
      <c r="R745" s="2" t="inlineStr"/>
    </row>
    <row r="746" ht="15" customHeight="1">
      <c r="A746" t="inlineStr">
        <is>
          <t>A 47091-2018</t>
        </is>
      </c>
      <c r="B746" s="1" t="n">
        <v>43368</v>
      </c>
      <c r="C746" s="1" t="n">
        <v>45227</v>
      </c>
      <c r="D746" t="inlineStr">
        <is>
          <t>VÄSTRA GÖTALANDS LÄN</t>
        </is>
      </c>
      <c r="E746" t="inlineStr">
        <is>
          <t>FALKÖPING</t>
        </is>
      </c>
      <c r="G746" t="n">
        <v>1.3</v>
      </c>
      <c r="H746" t="n">
        <v>0</v>
      </c>
      <c r="I746" t="n">
        <v>0</v>
      </c>
      <c r="J746" t="n">
        <v>0</v>
      </c>
      <c r="K746" t="n">
        <v>0</v>
      </c>
      <c r="L746" t="n">
        <v>0</v>
      </c>
      <c r="M746" t="n">
        <v>0</v>
      </c>
      <c r="N746" t="n">
        <v>0</v>
      </c>
      <c r="O746" t="n">
        <v>0</v>
      </c>
      <c r="P746" t="n">
        <v>0</v>
      </c>
      <c r="Q746" t="n">
        <v>0</v>
      </c>
      <c r="R746" s="2" t="inlineStr"/>
    </row>
    <row r="747" ht="15" customHeight="1">
      <c r="A747" t="inlineStr">
        <is>
          <t>A 47055-2018</t>
        </is>
      </c>
      <c r="B747" s="1" t="n">
        <v>43368</v>
      </c>
      <c r="C747" s="1" t="n">
        <v>45227</v>
      </c>
      <c r="D747" t="inlineStr">
        <is>
          <t>VÄSTRA GÖTALANDS LÄN</t>
        </is>
      </c>
      <c r="E747" t="inlineStr">
        <is>
          <t>FALKÖPING</t>
        </is>
      </c>
      <c r="G747" t="n">
        <v>6.5</v>
      </c>
      <c r="H747" t="n">
        <v>0</v>
      </c>
      <c r="I747" t="n">
        <v>0</v>
      </c>
      <c r="J747" t="n">
        <v>0</v>
      </c>
      <c r="K747" t="n">
        <v>0</v>
      </c>
      <c r="L747" t="n">
        <v>0</v>
      </c>
      <c r="M747" t="n">
        <v>0</v>
      </c>
      <c r="N747" t="n">
        <v>0</v>
      </c>
      <c r="O747" t="n">
        <v>0</v>
      </c>
      <c r="P747" t="n">
        <v>0</v>
      </c>
      <c r="Q747" t="n">
        <v>0</v>
      </c>
      <c r="R747" s="2" t="inlineStr"/>
    </row>
    <row r="748" ht="15" customHeight="1">
      <c r="A748" t="inlineStr">
        <is>
          <t>A 47187-2018</t>
        </is>
      </c>
      <c r="B748" s="1" t="n">
        <v>43369</v>
      </c>
      <c r="C748" s="1" t="n">
        <v>45227</v>
      </c>
      <c r="D748" t="inlineStr">
        <is>
          <t>VÄSTRA GÖTALANDS LÄN</t>
        </is>
      </c>
      <c r="E748" t="inlineStr">
        <is>
          <t>HERRLJUNGA</t>
        </is>
      </c>
      <c r="G748" t="n">
        <v>2.7</v>
      </c>
      <c r="H748" t="n">
        <v>0</v>
      </c>
      <c r="I748" t="n">
        <v>0</v>
      </c>
      <c r="J748" t="n">
        <v>0</v>
      </c>
      <c r="K748" t="n">
        <v>0</v>
      </c>
      <c r="L748" t="n">
        <v>0</v>
      </c>
      <c r="M748" t="n">
        <v>0</v>
      </c>
      <c r="N748" t="n">
        <v>0</v>
      </c>
      <c r="O748" t="n">
        <v>0</v>
      </c>
      <c r="P748" t="n">
        <v>0</v>
      </c>
      <c r="Q748" t="n">
        <v>0</v>
      </c>
      <c r="R748" s="2" t="inlineStr"/>
    </row>
    <row r="749" ht="15" customHeight="1">
      <c r="A749" t="inlineStr">
        <is>
          <t>A 47236-2018</t>
        </is>
      </c>
      <c r="B749" s="1" t="n">
        <v>43369</v>
      </c>
      <c r="C749" s="1" t="n">
        <v>45227</v>
      </c>
      <c r="D749" t="inlineStr">
        <is>
          <t>VÄSTRA GÖTALANDS LÄN</t>
        </is>
      </c>
      <c r="E749" t="inlineStr">
        <is>
          <t>BORÅS</t>
        </is>
      </c>
      <c r="G749" t="n">
        <v>1.3</v>
      </c>
      <c r="H749" t="n">
        <v>0</v>
      </c>
      <c r="I749" t="n">
        <v>0</v>
      </c>
      <c r="J749" t="n">
        <v>0</v>
      </c>
      <c r="K749" t="n">
        <v>0</v>
      </c>
      <c r="L749" t="n">
        <v>0</v>
      </c>
      <c r="M749" t="n">
        <v>0</v>
      </c>
      <c r="N749" t="n">
        <v>0</v>
      </c>
      <c r="O749" t="n">
        <v>0</v>
      </c>
      <c r="P749" t="n">
        <v>0</v>
      </c>
      <c r="Q749" t="n">
        <v>0</v>
      </c>
      <c r="R749" s="2" t="inlineStr"/>
    </row>
    <row r="750" ht="15" customHeight="1">
      <c r="A750" t="inlineStr">
        <is>
          <t>A 47344-2018</t>
        </is>
      </c>
      <c r="B750" s="1" t="n">
        <v>43369</v>
      </c>
      <c r="C750" s="1" t="n">
        <v>45227</v>
      </c>
      <c r="D750" t="inlineStr">
        <is>
          <t>VÄSTRA GÖTALANDS LÄN</t>
        </is>
      </c>
      <c r="E750" t="inlineStr">
        <is>
          <t>MARK</t>
        </is>
      </c>
      <c r="G750" t="n">
        <v>2.7</v>
      </c>
      <c r="H750" t="n">
        <v>0</v>
      </c>
      <c r="I750" t="n">
        <v>0</v>
      </c>
      <c r="J750" t="n">
        <v>0</v>
      </c>
      <c r="K750" t="n">
        <v>0</v>
      </c>
      <c r="L750" t="n">
        <v>0</v>
      </c>
      <c r="M750" t="n">
        <v>0</v>
      </c>
      <c r="N750" t="n">
        <v>0</v>
      </c>
      <c r="O750" t="n">
        <v>0</v>
      </c>
      <c r="P750" t="n">
        <v>0</v>
      </c>
      <c r="Q750" t="n">
        <v>0</v>
      </c>
      <c r="R750" s="2" t="inlineStr"/>
    </row>
    <row r="751" ht="15" customHeight="1">
      <c r="A751" t="inlineStr">
        <is>
          <t>A 47951-2018</t>
        </is>
      </c>
      <c r="B751" s="1" t="n">
        <v>43369</v>
      </c>
      <c r="C751" s="1" t="n">
        <v>45227</v>
      </c>
      <c r="D751" t="inlineStr">
        <is>
          <t>VÄSTRA GÖTALANDS LÄN</t>
        </is>
      </c>
      <c r="E751" t="inlineStr">
        <is>
          <t>BORÅS</t>
        </is>
      </c>
      <c r="G751" t="n">
        <v>0.4</v>
      </c>
      <c r="H751" t="n">
        <v>0</v>
      </c>
      <c r="I751" t="n">
        <v>0</v>
      </c>
      <c r="J751" t="n">
        <v>0</v>
      </c>
      <c r="K751" t="n">
        <v>0</v>
      </c>
      <c r="L751" t="n">
        <v>0</v>
      </c>
      <c r="M751" t="n">
        <v>0</v>
      </c>
      <c r="N751" t="n">
        <v>0</v>
      </c>
      <c r="O751" t="n">
        <v>0</v>
      </c>
      <c r="P751" t="n">
        <v>0</v>
      </c>
      <c r="Q751" t="n">
        <v>0</v>
      </c>
      <c r="R751" s="2" t="inlineStr"/>
    </row>
    <row r="752" ht="15" customHeight="1">
      <c r="A752" t="inlineStr">
        <is>
          <t>A 47282-2018</t>
        </is>
      </c>
      <c r="B752" s="1" t="n">
        <v>43369</v>
      </c>
      <c r="C752" s="1" t="n">
        <v>45227</v>
      </c>
      <c r="D752" t="inlineStr">
        <is>
          <t>VÄSTRA GÖTALANDS LÄN</t>
        </is>
      </c>
      <c r="E752" t="inlineStr">
        <is>
          <t>BORÅS</t>
        </is>
      </c>
      <c r="G752" t="n">
        <v>5.7</v>
      </c>
      <c r="H752" t="n">
        <v>0</v>
      </c>
      <c r="I752" t="n">
        <v>0</v>
      </c>
      <c r="J752" t="n">
        <v>0</v>
      </c>
      <c r="K752" t="n">
        <v>0</v>
      </c>
      <c r="L752" t="n">
        <v>0</v>
      </c>
      <c r="M752" t="n">
        <v>0</v>
      </c>
      <c r="N752" t="n">
        <v>0</v>
      </c>
      <c r="O752" t="n">
        <v>0</v>
      </c>
      <c r="P752" t="n">
        <v>0</v>
      </c>
      <c r="Q752" t="n">
        <v>0</v>
      </c>
      <c r="R752" s="2" t="inlineStr"/>
    </row>
    <row r="753" ht="15" customHeight="1">
      <c r="A753" t="inlineStr">
        <is>
          <t>A 46985-2018</t>
        </is>
      </c>
      <c r="B753" s="1" t="n">
        <v>43369</v>
      </c>
      <c r="C753" s="1" t="n">
        <v>45227</v>
      </c>
      <c r="D753" t="inlineStr">
        <is>
          <t>VÄSTRA GÖTALANDS LÄN</t>
        </is>
      </c>
      <c r="E753" t="inlineStr">
        <is>
          <t>ORUST</t>
        </is>
      </c>
      <c r="G753" t="n">
        <v>1.9</v>
      </c>
      <c r="H753" t="n">
        <v>0</v>
      </c>
      <c r="I753" t="n">
        <v>0</v>
      </c>
      <c r="J753" t="n">
        <v>0</v>
      </c>
      <c r="K753" t="n">
        <v>0</v>
      </c>
      <c r="L753" t="n">
        <v>0</v>
      </c>
      <c r="M753" t="n">
        <v>0</v>
      </c>
      <c r="N753" t="n">
        <v>0</v>
      </c>
      <c r="O753" t="n">
        <v>0</v>
      </c>
      <c r="P753" t="n">
        <v>0</v>
      </c>
      <c r="Q753" t="n">
        <v>0</v>
      </c>
      <c r="R753" s="2" t="inlineStr"/>
    </row>
    <row r="754" ht="15" customHeight="1">
      <c r="A754" t="inlineStr">
        <is>
          <t>A 47983-2018</t>
        </is>
      </c>
      <c r="B754" s="1" t="n">
        <v>43369</v>
      </c>
      <c r="C754" s="1" t="n">
        <v>45227</v>
      </c>
      <c r="D754" t="inlineStr">
        <is>
          <t>VÄSTRA GÖTALANDS LÄN</t>
        </is>
      </c>
      <c r="E754" t="inlineStr">
        <is>
          <t>MUNKEDAL</t>
        </is>
      </c>
      <c r="G754" t="n">
        <v>1</v>
      </c>
      <c r="H754" t="n">
        <v>0</v>
      </c>
      <c r="I754" t="n">
        <v>0</v>
      </c>
      <c r="J754" t="n">
        <v>0</v>
      </c>
      <c r="K754" t="n">
        <v>0</v>
      </c>
      <c r="L754" t="n">
        <v>0</v>
      </c>
      <c r="M754" t="n">
        <v>0</v>
      </c>
      <c r="N754" t="n">
        <v>0</v>
      </c>
      <c r="O754" t="n">
        <v>0</v>
      </c>
      <c r="P754" t="n">
        <v>0</v>
      </c>
      <c r="Q754" t="n">
        <v>0</v>
      </c>
      <c r="R754" s="2" t="inlineStr"/>
    </row>
    <row r="755" ht="15" customHeight="1">
      <c r="A755" t="inlineStr">
        <is>
          <t>A 47977-2018</t>
        </is>
      </c>
      <c r="B755" s="1" t="n">
        <v>43370</v>
      </c>
      <c r="C755" s="1" t="n">
        <v>45227</v>
      </c>
      <c r="D755" t="inlineStr">
        <is>
          <t>VÄSTRA GÖTALANDS LÄN</t>
        </is>
      </c>
      <c r="E755" t="inlineStr">
        <is>
          <t>STRÖMSTAD</t>
        </is>
      </c>
      <c r="G755" t="n">
        <v>1.9</v>
      </c>
      <c r="H755" t="n">
        <v>0</v>
      </c>
      <c r="I755" t="n">
        <v>0</v>
      </c>
      <c r="J755" t="n">
        <v>0</v>
      </c>
      <c r="K755" t="n">
        <v>0</v>
      </c>
      <c r="L755" t="n">
        <v>0</v>
      </c>
      <c r="M755" t="n">
        <v>0</v>
      </c>
      <c r="N755" t="n">
        <v>0</v>
      </c>
      <c r="O755" t="n">
        <v>0</v>
      </c>
      <c r="P755" t="n">
        <v>0</v>
      </c>
      <c r="Q755" t="n">
        <v>0</v>
      </c>
      <c r="R755" s="2" t="inlineStr"/>
    </row>
    <row r="756" ht="15" customHeight="1">
      <c r="A756" t="inlineStr">
        <is>
          <t>A 48063-2018</t>
        </is>
      </c>
      <c r="B756" s="1" t="n">
        <v>43370</v>
      </c>
      <c r="C756" s="1" t="n">
        <v>45227</v>
      </c>
      <c r="D756" t="inlineStr">
        <is>
          <t>VÄSTRA GÖTALANDS LÄN</t>
        </is>
      </c>
      <c r="E756" t="inlineStr">
        <is>
          <t>FALKÖPING</t>
        </is>
      </c>
      <c r="G756" t="n">
        <v>2.6</v>
      </c>
      <c r="H756" t="n">
        <v>0</v>
      </c>
      <c r="I756" t="n">
        <v>0</v>
      </c>
      <c r="J756" t="n">
        <v>0</v>
      </c>
      <c r="K756" t="n">
        <v>0</v>
      </c>
      <c r="L756" t="n">
        <v>0</v>
      </c>
      <c r="M756" t="n">
        <v>0</v>
      </c>
      <c r="N756" t="n">
        <v>0</v>
      </c>
      <c r="O756" t="n">
        <v>0</v>
      </c>
      <c r="P756" t="n">
        <v>0</v>
      </c>
      <c r="Q756" t="n">
        <v>0</v>
      </c>
      <c r="R756" s="2" t="inlineStr"/>
    </row>
    <row r="757" ht="15" customHeight="1">
      <c r="A757" t="inlineStr">
        <is>
          <t>A 47576-2018</t>
        </is>
      </c>
      <c r="B757" s="1" t="n">
        <v>43370</v>
      </c>
      <c r="C757" s="1" t="n">
        <v>45227</v>
      </c>
      <c r="D757" t="inlineStr">
        <is>
          <t>VÄSTRA GÖTALANDS LÄN</t>
        </is>
      </c>
      <c r="E757" t="inlineStr">
        <is>
          <t>VÅRGÅRDA</t>
        </is>
      </c>
      <c r="F757" t="inlineStr">
        <is>
          <t>Allmännings- och besparingsskogar</t>
        </is>
      </c>
      <c r="G757" t="n">
        <v>5</v>
      </c>
      <c r="H757" t="n">
        <v>0</v>
      </c>
      <c r="I757" t="n">
        <v>0</v>
      </c>
      <c r="J757" t="n">
        <v>0</v>
      </c>
      <c r="K757" t="n">
        <v>0</v>
      </c>
      <c r="L757" t="n">
        <v>0</v>
      </c>
      <c r="M757" t="n">
        <v>0</v>
      </c>
      <c r="N757" t="n">
        <v>0</v>
      </c>
      <c r="O757" t="n">
        <v>0</v>
      </c>
      <c r="P757" t="n">
        <v>0</v>
      </c>
      <c r="Q757" t="n">
        <v>0</v>
      </c>
      <c r="R757" s="2" t="inlineStr"/>
    </row>
    <row r="758" ht="15" customHeight="1">
      <c r="A758" t="inlineStr">
        <is>
          <t>A 48057-2018</t>
        </is>
      </c>
      <c r="B758" s="1" t="n">
        <v>43370</v>
      </c>
      <c r="C758" s="1" t="n">
        <v>45227</v>
      </c>
      <c r="D758" t="inlineStr">
        <is>
          <t>VÄSTRA GÖTALANDS LÄN</t>
        </is>
      </c>
      <c r="E758" t="inlineStr">
        <is>
          <t>FALKÖPING</t>
        </is>
      </c>
      <c r="G758" t="n">
        <v>1</v>
      </c>
      <c r="H758" t="n">
        <v>0</v>
      </c>
      <c r="I758" t="n">
        <v>0</v>
      </c>
      <c r="J758" t="n">
        <v>0</v>
      </c>
      <c r="K758" t="n">
        <v>0</v>
      </c>
      <c r="L758" t="n">
        <v>0</v>
      </c>
      <c r="M758" t="n">
        <v>0</v>
      </c>
      <c r="N758" t="n">
        <v>0</v>
      </c>
      <c r="O758" t="n">
        <v>0</v>
      </c>
      <c r="P758" t="n">
        <v>0</v>
      </c>
      <c r="Q758" t="n">
        <v>0</v>
      </c>
      <c r="R758" s="2" t="inlineStr"/>
    </row>
    <row r="759" ht="15" customHeight="1">
      <c r="A759" t="inlineStr">
        <is>
          <t>A 48410-2018</t>
        </is>
      </c>
      <c r="B759" s="1" t="n">
        <v>43370</v>
      </c>
      <c r="C759" s="1" t="n">
        <v>45227</v>
      </c>
      <c r="D759" t="inlineStr">
        <is>
          <t>VÄSTRA GÖTALANDS LÄN</t>
        </is>
      </c>
      <c r="E759" t="inlineStr">
        <is>
          <t>BORÅS</t>
        </is>
      </c>
      <c r="F759" t="inlineStr">
        <is>
          <t>Kommuner</t>
        </is>
      </c>
      <c r="G759" t="n">
        <v>2.5</v>
      </c>
      <c r="H759" t="n">
        <v>0</v>
      </c>
      <c r="I759" t="n">
        <v>0</v>
      </c>
      <c r="J759" t="n">
        <v>0</v>
      </c>
      <c r="K759" t="n">
        <v>0</v>
      </c>
      <c r="L759" t="n">
        <v>0</v>
      </c>
      <c r="M759" t="n">
        <v>0</v>
      </c>
      <c r="N759" t="n">
        <v>0</v>
      </c>
      <c r="O759" t="n">
        <v>0</v>
      </c>
      <c r="P759" t="n">
        <v>0</v>
      </c>
      <c r="Q759" t="n">
        <v>0</v>
      </c>
      <c r="R759" s="2" t="inlineStr"/>
    </row>
    <row r="760" ht="15" customHeight="1">
      <c r="A760" t="inlineStr">
        <is>
          <t>A 48102-2018</t>
        </is>
      </c>
      <c r="B760" s="1" t="n">
        <v>43371</v>
      </c>
      <c r="C760" s="1" t="n">
        <v>45227</v>
      </c>
      <c r="D760" t="inlineStr">
        <is>
          <t>VÄSTRA GÖTALANDS LÄN</t>
        </is>
      </c>
      <c r="E760" t="inlineStr">
        <is>
          <t>MELLERUD</t>
        </is>
      </c>
      <c r="G760" t="n">
        <v>1.6</v>
      </c>
      <c r="H760" t="n">
        <v>0</v>
      </c>
      <c r="I760" t="n">
        <v>0</v>
      </c>
      <c r="J760" t="n">
        <v>0</v>
      </c>
      <c r="K760" t="n">
        <v>0</v>
      </c>
      <c r="L760" t="n">
        <v>0</v>
      </c>
      <c r="M760" t="n">
        <v>0</v>
      </c>
      <c r="N760" t="n">
        <v>0</v>
      </c>
      <c r="O760" t="n">
        <v>0</v>
      </c>
      <c r="P760" t="n">
        <v>0</v>
      </c>
      <c r="Q760" t="n">
        <v>0</v>
      </c>
      <c r="R760" s="2" t="inlineStr"/>
    </row>
    <row r="761" ht="15" customHeight="1">
      <c r="A761" t="inlineStr">
        <is>
          <t>A 48698-2018</t>
        </is>
      </c>
      <c r="B761" s="1" t="n">
        <v>43371</v>
      </c>
      <c r="C761" s="1" t="n">
        <v>45227</v>
      </c>
      <c r="D761" t="inlineStr">
        <is>
          <t>VÄSTRA GÖTALANDS LÄN</t>
        </is>
      </c>
      <c r="E761" t="inlineStr">
        <is>
          <t>VÄNERSBORG</t>
        </is>
      </c>
      <c r="G761" t="n">
        <v>1.1</v>
      </c>
      <c r="H761" t="n">
        <v>0</v>
      </c>
      <c r="I761" t="n">
        <v>0</v>
      </c>
      <c r="J761" t="n">
        <v>0</v>
      </c>
      <c r="K761" t="n">
        <v>0</v>
      </c>
      <c r="L761" t="n">
        <v>0</v>
      </c>
      <c r="M761" t="n">
        <v>0</v>
      </c>
      <c r="N761" t="n">
        <v>0</v>
      </c>
      <c r="O761" t="n">
        <v>0</v>
      </c>
      <c r="P761" t="n">
        <v>0</v>
      </c>
      <c r="Q761" t="n">
        <v>0</v>
      </c>
      <c r="R761" s="2" t="inlineStr"/>
    </row>
    <row r="762" ht="15" customHeight="1">
      <c r="A762" t="inlineStr">
        <is>
          <t>A 48710-2018</t>
        </is>
      </c>
      <c r="B762" s="1" t="n">
        <v>43372</v>
      </c>
      <c r="C762" s="1" t="n">
        <v>45227</v>
      </c>
      <c r="D762" t="inlineStr">
        <is>
          <t>VÄSTRA GÖTALANDS LÄN</t>
        </is>
      </c>
      <c r="E762" t="inlineStr">
        <is>
          <t>LIDKÖPING</t>
        </is>
      </c>
      <c r="G762" t="n">
        <v>4.5</v>
      </c>
      <c r="H762" t="n">
        <v>0</v>
      </c>
      <c r="I762" t="n">
        <v>0</v>
      </c>
      <c r="J762" t="n">
        <v>0</v>
      </c>
      <c r="K762" t="n">
        <v>0</v>
      </c>
      <c r="L762" t="n">
        <v>0</v>
      </c>
      <c r="M762" t="n">
        <v>0</v>
      </c>
      <c r="N762" t="n">
        <v>0</v>
      </c>
      <c r="O762" t="n">
        <v>0</v>
      </c>
      <c r="P762" t="n">
        <v>0</v>
      </c>
      <c r="Q762" t="n">
        <v>0</v>
      </c>
      <c r="R762" s="2" t="inlineStr"/>
    </row>
    <row r="763" ht="15" customHeight="1">
      <c r="A763" t="inlineStr">
        <is>
          <t>A 48721-2018</t>
        </is>
      </c>
      <c r="B763" s="1" t="n">
        <v>43372</v>
      </c>
      <c r="C763" s="1" t="n">
        <v>45227</v>
      </c>
      <c r="D763" t="inlineStr">
        <is>
          <t>VÄSTRA GÖTALANDS LÄN</t>
        </is>
      </c>
      <c r="E763" t="inlineStr">
        <is>
          <t>LIDKÖPING</t>
        </is>
      </c>
      <c r="G763" t="n">
        <v>7.1</v>
      </c>
      <c r="H763" t="n">
        <v>0</v>
      </c>
      <c r="I763" t="n">
        <v>0</v>
      </c>
      <c r="J763" t="n">
        <v>0</v>
      </c>
      <c r="K763" t="n">
        <v>0</v>
      </c>
      <c r="L763" t="n">
        <v>0</v>
      </c>
      <c r="M763" t="n">
        <v>0</v>
      </c>
      <c r="N763" t="n">
        <v>0</v>
      </c>
      <c r="O763" t="n">
        <v>0</v>
      </c>
      <c r="P763" t="n">
        <v>0</v>
      </c>
      <c r="Q763" t="n">
        <v>0</v>
      </c>
      <c r="R763" s="2" t="inlineStr"/>
    </row>
    <row r="764" ht="15" customHeight="1">
      <c r="A764" t="inlineStr">
        <is>
          <t>A 49426-2018</t>
        </is>
      </c>
      <c r="B764" s="1" t="n">
        <v>43374</v>
      </c>
      <c r="C764" s="1" t="n">
        <v>45227</v>
      </c>
      <c r="D764" t="inlineStr">
        <is>
          <t>VÄSTRA GÖTALANDS LÄN</t>
        </is>
      </c>
      <c r="E764" t="inlineStr">
        <is>
          <t>SVENLJUNGA</t>
        </is>
      </c>
      <c r="G764" t="n">
        <v>1.6</v>
      </c>
      <c r="H764" t="n">
        <v>0</v>
      </c>
      <c r="I764" t="n">
        <v>0</v>
      </c>
      <c r="J764" t="n">
        <v>0</v>
      </c>
      <c r="K764" t="n">
        <v>0</v>
      </c>
      <c r="L764" t="n">
        <v>0</v>
      </c>
      <c r="M764" t="n">
        <v>0</v>
      </c>
      <c r="N764" t="n">
        <v>0</v>
      </c>
      <c r="O764" t="n">
        <v>0</v>
      </c>
      <c r="P764" t="n">
        <v>0</v>
      </c>
      <c r="Q764" t="n">
        <v>0</v>
      </c>
      <c r="R764" s="2" t="inlineStr"/>
    </row>
    <row r="765" ht="15" customHeight="1">
      <c r="A765" t="inlineStr">
        <is>
          <t>A 50092-2018</t>
        </is>
      </c>
      <c r="B765" s="1" t="n">
        <v>43375</v>
      </c>
      <c r="C765" s="1" t="n">
        <v>45227</v>
      </c>
      <c r="D765" t="inlineStr">
        <is>
          <t>VÄSTRA GÖTALANDS LÄN</t>
        </is>
      </c>
      <c r="E765" t="inlineStr">
        <is>
          <t>HJO</t>
        </is>
      </c>
      <c r="G765" t="n">
        <v>5.5</v>
      </c>
      <c r="H765" t="n">
        <v>0</v>
      </c>
      <c r="I765" t="n">
        <v>0</v>
      </c>
      <c r="J765" t="n">
        <v>0</v>
      </c>
      <c r="K765" t="n">
        <v>0</v>
      </c>
      <c r="L765" t="n">
        <v>0</v>
      </c>
      <c r="M765" t="n">
        <v>0</v>
      </c>
      <c r="N765" t="n">
        <v>0</v>
      </c>
      <c r="O765" t="n">
        <v>0</v>
      </c>
      <c r="P765" t="n">
        <v>0</v>
      </c>
      <c r="Q765" t="n">
        <v>0</v>
      </c>
      <c r="R765" s="2" t="inlineStr"/>
    </row>
    <row r="766" ht="15" customHeight="1">
      <c r="A766" t="inlineStr">
        <is>
          <t>A 49745-2018</t>
        </is>
      </c>
      <c r="B766" s="1" t="n">
        <v>43375</v>
      </c>
      <c r="C766" s="1" t="n">
        <v>45227</v>
      </c>
      <c r="D766" t="inlineStr">
        <is>
          <t>VÄSTRA GÖTALANDS LÄN</t>
        </is>
      </c>
      <c r="E766" t="inlineStr">
        <is>
          <t>SKARA</t>
        </is>
      </c>
      <c r="G766" t="n">
        <v>1</v>
      </c>
      <c r="H766" t="n">
        <v>0</v>
      </c>
      <c r="I766" t="n">
        <v>0</v>
      </c>
      <c r="J766" t="n">
        <v>0</v>
      </c>
      <c r="K766" t="n">
        <v>0</v>
      </c>
      <c r="L766" t="n">
        <v>0</v>
      </c>
      <c r="M766" t="n">
        <v>0</v>
      </c>
      <c r="N766" t="n">
        <v>0</v>
      </c>
      <c r="O766" t="n">
        <v>0</v>
      </c>
      <c r="P766" t="n">
        <v>0</v>
      </c>
      <c r="Q766" t="n">
        <v>0</v>
      </c>
      <c r="R766" s="2" t="inlineStr"/>
    </row>
    <row r="767" ht="15" customHeight="1">
      <c r="A767" t="inlineStr">
        <is>
          <t>A 50063-2018</t>
        </is>
      </c>
      <c r="B767" s="1" t="n">
        <v>43375</v>
      </c>
      <c r="C767" s="1" t="n">
        <v>45227</v>
      </c>
      <c r="D767" t="inlineStr">
        <is>
          <t>VÄSTRA GÖTALANDS LÄN</t>
        </is>
      </c>
      <c r="E767" t="inlineStr">
        <is>
          <t>LIDKÖPING</t>
        </is>
      </c>
      <c r="G767" t="n">
        <v>1.6</v>
      </c>
      <c r="H767" t="n">
        <v>0</v>
      </c>
      <c r="I767" t="n">
        <v>0</v>
      </c>
      <c r="J767" t="n">
        <v>0</v>
      </c>
      <c r="K767" t="n">
        <v>0</v>
      </c>
      <c r="L767" t="n">
        <v>0</v>
      </c>
      <c r="M767" t="n">
        <v>0</v>
      </c>
      <c r="N767" t="n">
        <v>0</v>
      </c>
      <c r="O767" t="n">
        <v>0</v>
      </c>
      <c r="P767" t="n">
        <v>0</v>
      </c>
      <c r="Q767" t="n">
        <v>0</v>
      </c>
      <c r="R767" s="2" t="inlineStr"/>
    </row>
    <row r="768" ht="15" customHeight="1">
      <c r="A768" t="inlineStr">
        <is>
          <t>A 50780-2018</t>
        </is>
      </c>
      <c r="B768" s="1" t="n">
        <v>43376</v>
      </c>
      <c r="C768" s="1" t="n">
        <v>45227</v>
      </c>
      <c r="D768" t="inlineStr">
        <is>
          <t>VÄSTRA GÖTALANDS LÄN</t>
        </is>
      </c>
      <c r="E768" t="inlineStr">
        <is>
          <t>BENGTSFORS</t>
        </is>
      </c>
      <c r="F768" t="inlineStr">
        <is>
          <t>Kyrkan</t>
        </is>
      </c>
      <c r="G768" t="n">
        <v>7.7</v>
      </c>
      <c r="H768" t="n">
        <v>0</v>
      </c>
      <c r="I768" t="n">
        <v>0</v>
      </c>
      <c r="J768" t="n">
        <v>0</v>
      </c>
      <c r="K768" t="n">
        <v>0</v>
      </c>
      <c r="L768" t="n">
        <v>0</v>
      </c>
      <c r="M768" t="n">
        <v>0</v>
      </c>
      <c r="N768" t="n">
        <v>0</v>
      </c>
      <c r="O768" t="n">
        <v>0</v>
      </c>
      <c r="P768" t="n">
        <v>0</v>
      </c>
      <c r="Q768" t="n">
        <v>0</v>
      </c>
      <c r="R768" s="2" t="inlineStr"/>
    </row>
    <row r="769" ht="15" customHeight="1">
      <c r="A769" t="inlineStr">
        <is>
          <t>A 50796-2018</t>
        </is>
      </c>
      <c r="B769" s="1" t="n">
        <v>43376</v>
      </c>
      <c r="C769" s="1" t="n">
        <v>45227</v>
      </c>
      <c r="D769" t="inlineStr">
        <is>
          <t>VÄSTRA GÖTALANDS LÄN</t>
        </is>
      </c>
      <c r="E769" t="inlineStr">
        <is>
          <t>BENGTSFORS</t>
        </is>
      </c>
      <c r="F769" t="inlineStr">
        <is>
          <t>Kyrkan</t>
        </is>
      </c>
      <c r="G769" t="n">
        <v>19.7</v>
      </c>
      <c r="H769" t="n">
        <v>0</v>
      </c>
      <c r="I769" t="n">
        <v>0</v>
      </c>
      <c r="J769" t="n">
        <v>0</v>
      </c>
      <c r="K769" t="n">
        <v>0</v>
      </c>
      <c r="L769" t="n">
        <v>0</v>
      </c>
      <c r="M769" t="n">
        <v>0</v>
      </c>
      <c r="N769" t="n">
        <v>0</v>
      </c>
      <c r="O769" t="n">
        <v>0</v>
      </c>
      <c r="P769" t="n">
        <v>0</v>
      </c>
      <c r="Q769" t="n">
        <v>0</v>
      </c>
      <c r="R769" s="2" t="inlineStr"/>
    </row>
    <row r="770" ht="15" customHeight="1">
      <c r="A770" t="inlineStr">
        <is>
          <t>A 50806-2018</t>
        </is>
      </c>
      <c r="B770" s="1" t="n">
        <v>43376</v>
      </c>
      <c r="C770" s="1" t="n">
        <v>45227</v>
      </c>
      <c r="D770" t="inlineStr">
        <is>
          <t>VÄSTRA GÖTALANDS LÄN</t>
        </is>
      </c>
      <c r="E770" t="inlineStr">
        <is>
          <t>TIBRO</t>
        </is>
      </c>
      <c r="G770" t="n">
        <v>2.9</v>
      </c>
      <c r="H770" t="n">
        <v>0</v>
      </c>
      <c r="I770" t="n">
        <v>0</v>
      </c>
      <c r="J770" t="n">
        <v>0</v>
      </c>
      <c r="K770" t="n">
        <v>0</v>
      </c>
      <c r="L770" t="n">
        <v>0</v>
      </c>
      <c r="M770" t="n">
        <v>0</v>
      </c>
      <c r="N770" t="n">
        <v>0</v>
      </c>
      <c r="O770" t="n">
        <v>0</v>
      </c>
      <c r="P770" t="n">
        <v>0</v>
      </c>
      <c r="Q770" t="n">
        <v>0</v>
      </c>
      <c r="R770" s="2" t="inlineStr"/>
    </row>
    <row r="771" ht="15" customHeight="1">
      <c r="A771" t="inlineStr">
        <is>
          <t>A 50764-2018</t>
        </is>
      </c>
      <c r="B771" s="1" t="n">
        <v>43376</v>
      </c>
      <c r="C771" s="1" t="n">
        <v>45227</v>
      </c>
      <c r="D771" t="inlineStr">
        <is>
          <t>VÄSTRA GÖTALANDS LÄN</t>
        </is>
      </c>
      <c r="E771" t="inlineStr">
        <is>
          <t>TIBRO</t>
        </is>
      </c>
      <c r="G771" t="n">
        <v>0.7</v>
      </c>
      <c r="H771" t="n">
        <v>0</v>
      </c>
      <c r="I771" t="n">
        <v>0</v>
      </c>
      <c r="J771" t="n">
        <v>0</v>
      </c>
      <c r="K771" t="n">
        <v>0</v>
      </c>
      <c r="L771" t="n">
        <v>0</v>
      </c>
      <c r="M771" t="n">
        <v>0</v>
      </c>
      <c r="N771" t="n">
        <v>0</v>
      </c>
      <c r="O771" t="n">
        <v>0</v>
      </c>
      <c r="P771" t="n">
        <v>0</v>
      </c>
      <c r="Q771" t="n">
        <v>0</v>
      </c>
      <c r="R771" s="2" t="inlineStr"/>
    </row>
    <row r="772" ht="15" customHeight="1">
      <c r="A772" t="inlineStr">
        <is>
          <t>A 49800-2018</t>
        </is>
      </c>
      <c r="B772" s="1" t="n">
        <v>43377</v>
      </c>
      <c r="C772" s="1" t="n">
        <v>45227</v>
      </c>
      <c r="D772" t="inlineStr">
        <is>
          <t>VÄSTRA GÖTALANDS LÄN</t>
        </is>
      </c>
      <c r="E772" t="inlineStr">
        <is>
          <t>ULRICEHAMN</t>
        </is>
      </c>
      <c r="G772" t="n">
        <v>1.4</v>
      </c>
      <c r="H772" t="n">
        <v>0</v>
      </c>
      <c r="I772" t="n">
        <v>0</v>
      </c>
      <c r="J772" t="n">
        <v>0</v>
      </c>
      <c r="K772" t="n">
        <v>0</v>
      </c>
      <c r="L772" t="n">
        <v>0</v>
      </c>
      <c r="M772" t="n">
        <v>0</v>
      </c>
      <c r="N772" t="n">
        <v>0</v>
      </c>
      <c r="O772" t="n">
        <v>0</v>
      </c>
      <c r="P772" t="n">
        <v>0</v>
      </c>
      <c r="Q772" t="n">
        <v>0</v>
      </c>
      <c r="R772" s="2" t="inlineStr"/>
    </row>
    <row r="773" ht="15" customHeight="1">
      <c r="A773" t="inlineStr">
        <is>
          <t>A 51049-2018</t>
        </is>
      </c>
      <c r="B773" s="1" t="n">
        <v>43377</v>
      </c>
      <c r="C773" s="1" t="n">
        <v>45227</v>
      </c>
      <c r="D773" t="inlineStr">
        <is>
          <t>VÄSTRA GÖTALANDS LÄN</t>
        </is>
      </c>
      <c r="E773" t="inlineStr">
        <is>
          <t>BENGTSFORS</t>
        </is>
      </c>
      <c r="G773" t="n">
        <v>14.2</v>
      </c>
      <c r="H773" t="n">
        <v>0</v>
      </c>
      <c r="I773" t="n">
        <v>0</v>
      </c>
      <c r="J773" t="n">
        <v>0</v>
      </c>
      <c r="K773" t="n">
        <v>0</v>
      </c>
      <c r="L773" t="n">
        <v>0</v>
      </c>
      <c r="M773" t="n">
        <v>0</v>
      </c>
      <c r="N773" t="n">
        <v>0</v>
      </c>
      <c r="O773" t="n">
        <v>0</v>
      </c>
      <c r="P773" t="n">
        <v>0</v>
      </c>
      <c r="Q773" t="n">
        <v>0</v>
      </c>
      <c r="R773" s="2" t="inlineStr"/>
    </row>
    <row r="774" ht="15" customHeight="1">
      <c r="A774" t="inlineStr">
        <is>
          <t>A 50101-2018</t>
        </is>
      </c>
      <c r="B774" s="1" t="n">
        <v>43378</v>
      </c>
      <c r="C774" s="1" t="n">
        <v>45227</v>
      </c>
      <c r="D774" t="inlineStr">
        <is>
          <t>VÄSTRA GÖTALANDS LÄN</t>
        </is>
      </c>
      <c r="E774" t="inlineStr">
        <is>
          <t>HERRLJUNGA</t>
        </is>
      </c>
      <c r="G774" t="n">
        <v>3.9</v>
      </c>
      <c r="H774" t="n">
        <v>0</v>
      </c>
      <c r="I774" t="n">
        <v>0</v>
      </c>
      <c r="J774" t="n">
        <v>0</v>
      </c>
      <c r="K774" t="n">
        <v>0</v>
      </c>
      <c r="L774" t="n">
        <v>0</v>
      </c>
      <c r="M774" t="n">
        <v>0</v>
      </c>
      <c r="N774" t="n">
        <v>0</v>
      </c>
      <c r="O774" t="n">
        <v>0</v>
      </c>
      <c r="P774" t="n">
        <v>0</v>
      </c>
      <c r="Q774" t="n">
        <v>0</v>
      </c>
      <c r="R774" s="2" t="inlineStr"/>
    </row>
    <row r="775" ht="15" customHeight="1">
      <c r="A775" t="inlineStr">
        <is>
          <t>A 51782-2018</t>
        </is>
      </c>
      <c r="B775" s="1" t="n">
        <v>43381</v>
      </c>
      <c r="C775" s="1" t="n">
        <v>45227</v>
      </c>
      <c r="D775" t="inlineStr">
        <is>
          <t>VÄSTRA GÖTALANDS LÄN</t>
        </is>
      </c>
      <c r="E775" t="inlineStr">
        <is>
          <t>LYSEKIL</t>
        </is>
      </c>
      <c r="G775" t="n">
        <v>0.5</v>
      </c>
      <c r="H775" t="n">
        <v>0</v>
      </c>
      <c r="I775" t="n">
        <v>0</v>
      </c>
      <c r="J775" t="n">
        <v>0</v>
      </c>
      <c r="K775" t="n">
        <v>0</v>
      </c>
      <c r="L775" t="n">
        <v>0</v>
      </c>
      <c r="M775" t="n">
        <v>0</v>
      </c>
      <c r="N775" t="n">
        <v>0</v>
      </c>
      <c r="O775" t="n">
        <v>0</v>
      </c>
      <c r="P775" t="n">
        <v>0</v>
      </c>
      <c r="Q775" t="n">
        <v>0</v>
      </c>
      <c r="R775" s="2" t="inlineStr"/>
    </row>
    <row r="776" ht="15" customHeight="1">
      <c r="A776" t="inlineStr">
        <is>
          <t>A 50862-2018</t>
        </is>
      </c>
      <c r="B776" s="1" t="n">
        <v>43381</v>
      </c>
      <c r="C776" s="1" t="n">
        <v>45227</v>
      </c>
      <c r="D776" t="inlineStr">
        <is>
          <t>VÄSTRA GÖTALANDS LÄN</t>
        </is>
      </c>
      <c r="E776" t="inlineStr">
        <is>
          <t>UDDEVALLA</t>
        </is>
      </c>
      <c r="G776" t="n">
        <v>1.8</v>
      </c>
      <c r="H776" t="n">
        <v>0</v>
      </c>
      <c r="I776" t="n">
        <v>0</v>
      </c>
      <c r="J776" t="n">
        <v>0</v>
      </c>
      <c r="K776" t="n">
        <v>0</v>
      </c>
      <c r="L776" t="n">
        <v>0</v>
      </c>
      <c r="M776" t="n">
        <v>0</v>
      </c>
      <c r="N776" t="n">
        <v>0</v>
      </c>
      <c r="O776" t="n">
        <v>0</v>
      </c>
      <c r="P776" t="n">
        <v>0</v>
      </c>
      <c r="Q776" t="n">
        <v>0</v>
      </c>
      <c r="R776" s="2" t="inlineStr"/>
    </row>
    <row r="777" ht="15" customHeight="1">
      <c r="A777" t="inlineStr">
        <is>
          <t>A 51446-2018</t>
        </is>
      </c>
      <c r="B777" s="1" t="n">
        <v>43381</v>
      </c>
      <c r="C777" s="1" t="n">
        <v>45227</v>
      </c>
      <c r="D777" t="inlineStr">
        <is>
          <t>VÄSTRA GÖTALANDS LÄN</t>
        </is>
      </c>
      <c r="E777" t="inlineStr">
        <is>
          <t>BENGTSFORS</t>
        </is>
      </c>
      <c r="G777" t="n">
        <v>0.8</v>
      </c>
      <c r="H777" t="n">
        <v>0</v>
      </c>
      <c r="I777" t="n">
        <v>0</v>
      </c>
      <c r="J777" t="n">
        <v>0</v>
      </c>
      <c r="K777" t="n">
        <v>0</v>
      </c>
      <c r="L777" t="n">
        <v>0</v>
      </c>
      <c r="M777" t="n">
        <v>0</v>
      </c>
      <c r="N777" t="n">
        <v>0</v>
      </c>
      <c r="O777" t="n">
        <v>0</v>
      </c>
      <c r="P777" t="n">
        <v>0</v>
      </c>
      <c r="Q777" t="n">
        <v>0</v>
      </c>
      <c r="R777" s="2" t="inlineStr"/>
    </row>
    <row r="778" ht="15" customHeight="1">
      <c r="A778" t="inlineStr">
        <is>
          <t>A 51737-2018</t>
        </is>
      </c>
      <c r="B778" s="1" t="n">
        <v>43381</v>
      </c>
      <c r="C778" s="1" t="n">
        <v>45227</v>
      </c>
      <c r="D778" t="inlineStr">
        <is>
          <t>VÄSTRA GÖTALANDS LÄN</t>
        </is>
      </c>
      <c r="E778" t="inlineStr">
        <is>
          <t>SOTENÄS</t>
        </is>
      </c>
      <c r="G778" t="n">
        <v>0.6</v>
      </c>
      <c r="H778" t="n">
        <v>0</v>
      </c>
      <c r="I778" t="n">
        <v>0</v>
      </c>
      <c r="J778" t="n">
        <v>0</v>
      </c>
      <c r="K778" t="n">
        <v>0</v>
      </c>
      <c r="L778" t="n">
        <v>0</v>
      </c>
      <c r="M778" t="n">
        <v>0</v>
      </c>
      <c r="N778" t="n">
        <v>0</v>
      </c>
      <c r="O778" t="n">
        <v>0</v>
      </c>
      <c r="P778" t="n">
        <v>0</v>
      </c>
      <c r="Q778" t="n">
        <v>0</v>
      </c>
      <c r="R778" s="2" t="inlineStr"/>
    </row>
    <row r="779" ht="15" customHeight="1">
      <c r="A779" t="inlineStr">
        <is>
          <t>A 61723-2018</t>
        </is>
      </c>
      <c r="B779" s="1" t="n">
        <v>43381</v>
      </c>
      <c r="C779" s="1" t="n">
        <v>45227</v>
      </c>
      <c r="D779" t="inlineStr">
        <is>
          <t>VÄSTRA GÖTALANDS LÄN</t>
        </is>
      </c>
      <c r="E779" t="inlineStr">
        <is>
          <t>SVENLJUNGA</t>
        </is>
      </c>
      <c r="F779" t="inlineStr">
        <is>
          <t>Kommuner</t>
        </is>
      </c>
      <c r="G779" t="n">
        <v>1.6</v>
      </c>
      <c r="H779" t="n">
        <v>0</v>
      </c>
      <c r="I779" t="n">
        <v>0</v>
      </c>
      <c r="J779" t="n">
        <v>0</v>
      </c>
      <c r="K779" t="n">
        <v>0</v>
      </c>
      <c r="L779" t="n">
        <v>0</v>
      </c>
      <c r="M779" t="n">
        <v>0</v>
      </c>
      <c r="N779" t="n">
        <v>0</v>
      </c>
      <c r="O779" t="n">
        <v>0</v>
      </c>
      <c r="P779" t="n">
        <v>0</v>
      </c>
      <c r="Q779" t="n">
        <v>0</v>
      </c>
      <c r="R779" s="2" t="inlineStr"/>
    </row>
    <row r="780" ht="15" customHeight="1">
      <c r="A780" t="inlineStr">
        <is>
          <t>A 51916-2018</t>
        </is>
      </c>
      <c r="B780" s="1" t="n">
        <v>43382</v>
      </c>
      <c r="C780" s="1" t="n">
        <v>45227</v>
      </c>
      <c r="D780" t="inlineStr">
        <is>
          <t>VÄSTRA GÖTALANDS LÄN</t>
        </is>
      </c>
      <c r="E780" t="inlineStr">
        <is>
          <t>GÖTENE</t>
        </is>
      </c>
      <c r="G780" t="n">
        <v>0.5</v>
      </c>
      <c r="H780" t="n">
        <v>0</v>
      </c>
      <c r="I780" t="n">
        <v>0</v>
      </c>
      <c r="J780" t="n">
        <v>0</v>
      </c>
      <c r="K780" t="n">
        <v>0</v>
      </c>
      <c r="L780" t="n">
        <v>0</v>
      </c>
      <c r="M780" t="n">
        <v>0</v>
      </c>
      <c r="N780" t="n">
        <v>0</v>
      </c>
      <c r="O780" t="n">
        <v>0</v>
      </c>
      <c r="P780" t="n">
        <v>0</v>
      </c>
      <c r="Q780" t="n">
        <v>0</v>
      </c>
      <c r="R780" s="2" t="inlineStr"/>
    </row>
    <row r="781" ht="15" customHeight="1">
      <c r="A781" t="inlineStr">
        <is>
          <t>A 51918-2018</t>
        </is>
      </c>
      <c r="B781" s="1" t="n">
        <v>43382</v>
      </c>
      <c r="C781" s="1" t="n">
        <v>45227</v>
      </c>
      <c r="D781" t="inlineStr">
        <is>
          <t>VÄSTRA GÖTALANDS LÄN</t>
        </is>
      </c>
      <c r="E781" t="inlineStr">
        <is>
          <t>GÖTENE</t>
        </is>
      </c>
      <c r="G781" t="n">
        <v>1</v>
      </c>
      <c r="H781" t="n">
        <v>0</v>
      </c>
      <c r="I781" t="n">
        <v>0</v>
      </c>
      <c r="J781" t="n">
        <v>0</v>
      </c>
      <c r="K781" t="n">
        <v>0</v>
      </c>
      <c r="L781" t="n">
        <v>0</v>
      </c>
      <c r="M781" t="n">
        <v>0</v>
      </c>
      <c r="N781" t="n">
        <v>0</v>
      </c>
      <c r="O781" t="n">
        <v>0</v>
      </c>
      <c r="P781" t="n">
        <v>0</v>
      </c>
      <c r="Q781" t="n">
        <v>0</v>
      </c>
      <c r="R781" s="2" t="inlineStr"/>
    </row>
    <row r="782" ht="15" customHeight="1">
      <c r="A782" t="inlineStr">
        <is>
          <t>A 51800-2018</t>
        </is>
      </c>
      <c r="B782" s="1" t="n">
        <v>43382</v>
      </c>
      <c r="C782" s="1" t="n">
        <v>45227</v>
      </c>
      <c r="D782" t="inlineStr">
        <is>
          <t>VÄSTRA GÖTALANDS LÄN</t>
        </is>
      </c>
      <c r="E782" t="inlineStr">
        <is>
          <t>STRÖMSTAD</t>
        </is>
      </c>
      <c r="G782" t="n">
        <v>1.5</v>
      </c>
      <c r="H782" t="n">
        <v>0</v>
      </c>
      <c r="I782" t="n">
        <v>0</v>
      </c>
      <c r="J782" t="n">
        <v>0</v>
      </c>
      <c r="K782" t="n">
        <v>0</v>
      </c>
      <c r="L782" t="n">
        <v>0</v>
      </c>
      <c r="M782" t="n">
        <v>0</v>
      </c>
      <c r="N782" t="n">
        <v>0</v>
      </c>
      <c r="O782" t="n">
        <v>0</v>
      </c>
      <c r="P782" t="n">
        <v>0</v>
      </c>
      <c r="Q782" t="n">
        <v>0</v>
      </c>
      <c r="R782" s="2" t="inlineStr"/>
    </row>
    <row r="783" ht="15" customHeight="1">
      <c r="A783" t="inlineStr">
        <is>
          <t>A 61726-2018</t>
        </is>
      </c>
      <c r="B783" s="1" t="n">
        <v>43383</v>
      </c>
      <c r="C783" s="1" t="n">
        <v>45227</v>
      </c>
      <c r="D783" t="inlineStr">
        <is>
          <t>VÄSTRA GÖTALANDS LÄN</t>
        </is>
      </c>
      <c r="E783" t="inlineStr">
        <is>
          <t>HÄRRYDA</t>
        </is>
      </c>
      <c r="G783" t="n">
        <v>2.6</v>
      </c>
      <c r="H783" t="n">
        <v>0</v>
      </c>
      <c r="I783" t="n">
        <v>0</v>
      </c>
      <c r="J783" t="n">
        <v>0</v>
      </c>
      <c r="K783" t="n">
        <v>0</v>
      </c>
      <c r="L783" t="n">
        <v>0</v>
      </c>
      <c r="M783" t="n">
        <v>0</v>
      </c>
      <c r="N783" t="n">
        <v>0</v>
      </c>
      <c r="O783" t="n">
        <v>0</v>
      </c>
      <c r="P783" t="n">
        <v>0</v>
      </c>
      <c r="Q783" t="n">
        <v>0</v>
      </c>
      <c r="R783" s="2" t="inlineStr"/>
    </row>
    <row r="784" ht="15" customHeight="1">
      <c r="A784" t="inlineStr">
        <is>
          <t>A 51458-2018</t>
        </is>
      </c>
      <c r="B784" s="1" t="n">
        <v>43383</v>
      </c>
      <c r="C784" s="1" t="n">
        <v>45227</v>
      </c>
      <c r="D784" t="inlineStr">
        <is>
          <t>VÄSTRA GÖTALANDS LÄN</t>
        </is>
      </c>
      <c r="E784" t="inlineStr">
        <is>
          <t>ALE</t>
        </is>
      </c>
      <c r="G784" t="n">
        <v>13.9</v>
      </c>
      <c r="H784" t="n">
        <v>0</v>
      </c>
      <c r="I784" t="n">
        <v>0</v>
      </c>
      <c r="J784" t="n">
        <v>0</v>
      </c>
      <c r="K784" t="n">
        <v>0</v>
      </c>
      <c r="L784" t="n">
        <v>0</v>
      </c>
      <c r="M784" t="n">
        <v>0</v>
      </c>
      <c r="N784" t="n">
        <v>0</v>
      </c>
      <c r="O784" t="n">
        <v>0</v>
      </c>
      <c r="P784" t="n">
        <v>0</v>
      </c>
      <c r="Q784" t="n">
        <v>0</v>
      </c>
      <c r="R784" s="2" t="inlineStr"/>
    </row>
    <row r="785" ht="15" customHeight="1">
      <c r="A785" t="inlineStr">
        <is>
          <t>A 52647-2018</t>
        </is>
      </c>
      <c r="B785" s="1" t="n">
        <v>43383</v>
      </c>
      <c r="C785" s="1" t="n">
        <v>45227</v>
      </c>
      <c r="D785" t="inlineStr">
        <is>
          <t>VÄSTRA GÖTALANDS LÄN</t>
        </is>
      </c>
      <c r="E785" t="inlineStr">
        <is>
          <t>BENGTSFORS</t>
        </is>
      </c>
      <c r="F785" t="inlineStr">
        <is>
          <t>Kyrkan</t>
        </is>
      </c>
      <c r="G785" t="n">
        <v>3.3</v>
      </c>
      <c r="H785" t="n">
        <v>0</v>
      </c>
      <c r="I785" t="n">
        <v>0</v>
      </c>
      <c r="J785" t="n">
        <v>0</v>
      </c>
      <c r="K785" t="n">
        <v>0</v>
      </c>
      <c r="L785" t="n">
        <v>0</v>
      </c>
      <c r="M785" t="n">
        <v>0</v>
      </c>
      <c r="N785" t="n">
        <v>0</v>
      </c>
      <c r="O785" t="n">
        <v>0</v>
      </c>
      <c r="P785" t="n">
        <v>0</v>
      </c>
      <c r="Q785" t="n">
        <v>0</v>
      </c>
      <c r="R785" s="2" t="inlineStr"/>
    </row>
    <row r="786" ht="15" customHeight="1">
      <c r="A786" t="inlineStr">
        <is>
          <t>A 51454-2018</t>
        </is>
      </c>
      <c r="B786" s="1" t="n">
        <v>43383</v>
      </c>
      <c r="C786" s="1" t="n">
        <v>45227</v>
      </c>
      <c r="D786" t="inlineStr">
        <is>
          <t>VÄSTRA GÖTALANDS LÄN</t>
        </is>
      </c>
      <c r="E786" t="inlineStr">
        <is>
          <t>FÄRGELANDA</t>
        </is>
      </c>
      <c r="G786" t="n">
        <v>0.5</v>
      </c>
      <c r="H786" t="n">
        <v>0</v>
      </c>
      <c r="I786" t="n">
        <v>0</v>
      </c>
      <c r="J786" t="n">
        <v>0</v>
      </c>
      <c r="K786" t="n">
        <v>0</v>
      </c>
      <c r="L786" t="n">
        <v>0</v>
      </c>
      <c r="M786" t="n">
        <v>0</v>
      </c>
      <c r="N786" t="n">
        <v>0</v>
      </c>
      <c r="O786" t="n">
        <v>0</v>
      </c>
      <c r="P786" t="n">
        <v>0</v>
      </c>
      <c r="Q786" t="n">
        <v>0</v>
      </c>
      <c r="R786" s="2" t="inlineStr"/>
    </row>
    <row r="787" ht="15" customHeight="1">
      <c r="A787" t="inlineStr">
        <is>
          <t>A 52851-2018</t>
        </is>
      </c>
      <c r="B787" s="1" t="n">
        <v>43384</v>
      </c>
      <c r="C787" s="1" t="n">
        <v>45227</v>
      </c>
      <c r="D787" t="inlineStr">
        <is>
          <t>VÄSTRA GÖTALANDS LÄN</t>
        </is>
      </c>
      <c r="E787" t="inlineStr">
        <is>
          <t>DALS-ED</t>
        </is>
      </c>
      <c r="G787" t="n">
        <v>0.8</v>
      </c>
      <c r="H787" t="n">
        <v>0</v>
      </c>
      <c r="I787" t="n">
        <v>0</v>
      </c>
      <c r="J787" t="n">
        <v>0</v>
      </c>
      <c r="K787" t="n">
        <v>0</v>
      </c>
      <c r="L787" t="n">
        <v>0</v>
      </c>
      <c r="M787" t="n">
        <v>0</v>
      </c>
      <c r="N787" t="n">
        <v>0</v>
      </c>
      <c r="O787" t="n">
        <v>0</v>
      </c>
      <c r="P787" t="n">
        <v>0</v>
      </c>
      <c r="Q787" t="n">
        <v>0</v>
      </c>
      <c r="R787" s="2" t="inlineStr"/>
    </row>
    <row r="788" ht="15" customHeight="1">
      <c r="A788" t="inlineStr">
        <is>
          <t>A 51709-2018</t>
        </is>
      </c>
      <c r="B788" s="1" t="n">
        <v>43384</v>
      </c>
      <c r="C788" s="1" t="n">
        <v>45227</v>
      </c>
      <c r="D788" t="inlineStr">
        <is>
          <t>VÄSTRA GÖTALANDS LÄN</t>
        </is>
      </c>
      <c r="E788" t="inlineStr">
        <is>
          <t>MARIESTAD</t>
        </is>
      </c>
      <c r="G788" t="n">
        <v>1.6</v>
      </c>
      <c r="H788" t="n">
        <v>0</v>
      </c>
      <c r="I788" t="n">
        <v>0</v>
      </c>
      <c r="J788" t="n">
        <v>0</v>
      </c>
      <c r="K788" t="n">
        <v>0</v>
      </c>
      <c r="L788" t="n">
        <v>0</v>
      </c>
      <c r="M788" t="n">
        <v>0</v>
      </c>
      <c r="N788" t="n">
        <v>0</v>
      </c>
      <c r="O788" t="n">
        <v>0</v>
      </c>
      <c r="P788" t="n">
        <v>0</v>
      </c>
      <c r="Q788" t="n">
        <v>0</v>
      </c>
      <c r="R788" s="2" t="inlineStr"/>
    </row>
    <row r="789" ht="15" customHeight="1">
      <c r="A789" t="inlineStr">
        <is>
          <t>A 53490-2018</t>
        </is>
      </c>
      <c r="B789" s="1" t="n">
        <v>43385</v>
      </c>
      <c r="C789" s="1" t="n">
        <v>45227</v>
      </c>
      <c r="D789" t="inlineStr">
        <is>
          <t>VÄSTRA GÖTALANDS LÄN</t>
        </is>
      </c>
      <c r="E789" t="inlineStr">
        <is>
          <t>MUNKEDAL</t>
        </is>
      </c>
      <c r="G789" t="n">
        <v>0.5</v>
      </c>
      <c r="H789" t="n">
        <v>0</v>
      </c>
      <c r="I789" t="n">
        <v>0</v>
      </c>
      <c r="J789" t="n">
        <v>0</v>
      </c>
      <c r="K789" t="n">
        <v>0</v>
      </c>
      <c r="L789" t="n">
        <v>0</v>
      </c>
      <c r="M789" t="n">
        <v>0</v>
      </c>
      <c r="N789" t="n">
        <v>0</v>
      </c>
      <c r="O789" t="n">
        <v>0</v>
      </c>
      <c r="P789" t="n">
        <v>0</v>
      </c>
      <c r="Q789" t="n">
        <v>0</v>
      </c>
      <c r="R789" s="2" t="inlineStr"/>
    </row>
    <row r="790" ht="15" customHeight="1">
      <c r="A790" t="inlineStr">
        <is>
          <t>A 65003-2018</t>
        </is>
      </c>
      <c r="B790" s="1" t="n">
        <v>43385</v>
      </c>
      <c r="C790" s="1" t="n">
        <v>45227</v>
      </c>
      <c r="D790" t="inlineStr">
        <is>
          <t>VÄSTRA GÖTALANDS LÄN</t>
        </is>
      </c>
      <c r="E790" t="inlineStr">
        <is>
          <t>MUNKEDAL</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51886-2018</t>
        </is>
      </c>
      <c r="B791" s="1" t="n">
        <v>43385</v>
      </c>
      <c r="C791" s="1" t="n">
        <v>45227</v>
      </c>
      <c r="D791" t="inlineStr">
        <is>
          <t>VÄSTRA GÖTALANDS LÄN</t>
        </is>
      </c>
      <c r="E791" t="inlineStr">
        <is>
          <t>UDDEVALLA</t>
        </is>
      </c>
      <c r="G791" t="n">
        <v>0.6</v>
      </c>
      <c r="H791" t="n">
        <v>0</v>
      </c>
      <c r="I791" t="n">
        <v>0</v>
      </c>
      <c r="J791" t="n">
        <v>0</v>
      </c>
      <c r="K791" t="n">
        <v>0</v>
      </c>
      <c r="L791" t="n">
        <v>0</v>
      </c>
      <c r="M791" t="n">
        <v>0</v>
      </c>
      <c r="N791" t="n">
        <v>0</v>
      </c>
      <c r="O791" t="n">
        <v>0</v>
      </c>
      <c r="P791" t="n">
        <v>0</v>
      </c>
      <c r="Q791" t="n">
        <v>0</v>
      </c>
      <c r="R791" s="2" t="inlineStr"/>
    </row>
    <row r="792" ht="15" customHeight="1">
      <c r="A792" t="inlineStr">
        <is>
          <t>A 52043-2018</t>
        </is>
      </c>
      <c r="B792" s="1" t="n">
        <v>43385</v>
      </c>
      <c r="C792" s="1" t="n">
        <v>45227</v>
      </c>
      <c r="D792" t="inlineStr">
        <is>
          <t>VÄSTRA GÖTALANDS LÄN</t>
        </is>
      </c>
      <c r="E792" t="inlineStr">
        <is>
          <t>ALE</t>
        </is>
      </c>
      <c r="G792" t="n">
        <v>0.4</v>
      </c>
      <c r="H792" t="n">
        <v>0</v>
      </c>
      <c r="I792" t="n">
        <v>0</v>
      </c>
      <c r="J792" t="n">
        <v>0</v>
      </c>
      <c r="K792" t="n">
        <v>0</v>
      </c>
      <c r="L792" t="n">
        <v>0</v>
      </c>
      <c r="M792" t="n">
        <v>0</v>
      </c>
      <c r="N792" t="n">
        <v>0</v>
      </c>
      <c r="O792" t="n">
        <v>0</v>
      </c>
      <c r="P792" t="n">
        <v>0</v>
      </c>
      <c r="Q792" t="n">
        <v>0</v>
      </c>
      <c r="R792" s="2" t="inlineStr"/>
    </row>
    <row r="793" ht="15" customHeight="1">
      <c r="A793" t="inlineStr">
        <is>
          <t>A 53666-2018</t>
        </is>
      </c>
      <c r="B793" s="1" t="n">
        <v>43385</v>
      </c>
      <c r="C793" s="1" t="n">
        <v>45227</v>
      </c>
      <c r="D793" t="inlineStr">
        <is>
          <t>VÄSTRA GÖTALANDS LÄN</t>
        </is>
      </c>
      <c r="E793" t="inlineStr">
        <is>
          <t>SKARA</t>
        </is>
      </c>
      <c r="G793" t="n">
        <v>10</v>
      </c>
      <c r="H793" t="n">
        <v>0</v>
      </c>
      <c r="I793" t="n">
        <v>0</v>
      </c>
      <c r="J793" t="n">
        <v>0</v>
      </c>
      <c r="K793" t="n">
        <v>0</v>
      </c>
      <c r="L793" t="n">
        <v>0</v>
      </c>
      <c r="M793" t="n">
        <v>0</v>
      </c>
      <c r="N793" t="n">
        <v>0</v>
      </c>
      <c r="O793" t="n">
        <v>0</v>
      </c>
      <c r="P793" t="n">
        <v>0</v>
      </c>
      <c r="Q793" t="n">
        <v>0</v>
      </c>
      <c r="R793" s="2" t="inlineStr"/>
    </row>
    <row r="794" ht="15" customHeight="1">
      <c r="A794" t="inlineStr">
        <is>
          <t>A 53481-2018</t>
        </is>
      </c>
      <c r="B794" s="1" t="n">
        <v>43385</v>
      </c>
      <c r="C794" s="1" t="n">
        <v>45227</v>
      </c>
      <c r="D794" t="inlineStr">
        <is>
          <t>VÄSTRA GÖTALANDS LÄN</t>
        </is>
      </c>
      <c r="E794" t="inlineStr">
        <is>
          <t>MUNKEDAL</t>
        </is>
      </c>
      <c r="G794" t="n">
        <v>3.1</v>
      </c>
      <c r="H794" t="n">
        <v>0</v>
      </c>
      <c r="I794" t="n">
        <v>0</v>
      </c>
      <c r="J794" t="n">
        <v>0</v>
      </c>
      <c r="K794" t="n">
        <v>0</v>
      </c>
      <c r="L794" t="n">
        <v>0</v>
      </c>
      <c r="M794" t="n">
        <v>0</v>
      </c>
      <c r="N794" t="n">
        <v>0</v>
      </c>
      <c r="O794" t="n">
        <v>0</v>
      </c>
      <c r="P794" t="n">
        <v>0</v>
      </c>
      <c r="Q794" t="n">
        <v>0</v>
      </c>
      <c r="R794" s="2" t="inlineStr"/>
    </row>
    <row r="795" ht="15" customHeight="1">
      <c r="A795" t="inlineStr">
        <is>
          <t>A 63938-2018</t>
        </is>
      </c>
      <c r="B795" s="1" t="n">
        <v>43388</v>
      </c>
      <c r="C795" s="1" t="n">
        <v>45227</v>
      </c>
      <c r="D795" t="inlineStr">
        <is>
          <t>VÄSTRA GÖTALANDS LÄN</t>
        </is>
      </c>
      <c r="E795" t="inlineStr">
        <is>
          <t>MUNKEDAL</t>
        </is>
      </c>
      <c r="F795" t="inlineStr">
        <is>
          <t>Kommuner</t>
        </is>
      </c>
      <c r="G795" t="n">
        <v>2.2</v>
      </c>
      <c r="H795" t="n">
        <v>0</v>
      </c>
      <c r="I795" t="n">
        <v>0</v>
      </c>
      <c r="J795" t="n">
        <v>0</v>
      </c>
      <c r="K795" t="n">
        <v>0</v>
      </c>
      <c r="L795" t="n">
        <v>0</v>
      </c>
      <c r="M795" t="n">
        <v>0</v>
      </c>
      <c r="N795" t="n">
        <v>0</v>
      </c>
      <c r="O795" t="n">
        <v>0</v>
      </c>
      <c r="P795" t="n">
        <v>0</v>
      </c>
      <c r="Q795" t="n">
        <v>0</v>
      </c>
      <c r="R795" s="2" t="inlineStr"/>
    </row>
    <row r="796" ht="15" customHeight="1">
      <c r="A796" t="inlineStr">
        <is>
          <t>A 52234-2018</t>
        </is>
      </c>
      <c r="B796" s="1" t="n">
        <v>43388</v>
      </c>
      <c r="C796" s="1" t="n">
        <v>45227</v>
      </c>
      <c r="D796" t="inlineStr">
        <is>
          <t>VÄSTRA GÖTALANDS LÄN</t>
        </is>
      </c>
      <c r="E796" t="inlineStr">
        <is>
          <t>ALINGSÅS</t>
        </is>
      </c>
      <c r="G796" t="n">
        <v>1.3</v>
      </c>
      <c r="H796" t="n">
        <v>0</v>
      </c>
      <c r="I796" t="n">
        <v>0</v>
      </c>
      <c r="J796" t="n">
        <v>0</v>
      </c>
      <c r="K796" t="n">
        <v>0</v>
      </c>
      <c r="L796" t="n">
        <v>0</v>
      </c>
      <c r="M796" t="n">
        <v>0</v>
      </c>
      <c r="N796" t="n">
        <v>0</v>
      </c>
      <c r="O796" t="n">
        <v>0</v>
      </c>
      <c r="P796" t="n">
        <v>0</v>
      </c>
      <c r="Q796" t="n">
        <v>0</v>
      </c>
      <c r="R796" s="2" t="inlineStr"/>
    </row>
    <row r="797" ht="15" customHeight="1">
      <c r="A797" t="inlineStr">
        <is>
          <t>A 54060-2018</t>
        </is>
      </c>
      <c r="B797" s="1" t="n">
        <v>43388</v>
      </c>
      <c r="C797" s="1" t="n">
        <v>45227</v>
      </c>
      <c r="D797" t="inlineStr">
        <is>
          <t>VÄSTRA GÖTALANDS LÄN</t>
        </is>
      </c>
      <c r="E797" t="inlineStr">
        <is>
          <t>ÅMÅL</t>
        </is>
      </c>
      <c r="F797" t="inlineStr">
        <is>
          <t>Bergvik skog väst AB</t>
        </is>
      </c>
      <c r="G797" t="n">
        <v>10</v>
      </c>
      <c r="H797" t="n">
        <v>0</v>
      </c>
      <c r="I797" t="n">
        <v>0</v>
      </c>
      <c r="J797" t="n">
        <v>0</v>
      </c>
      <c r="K797" t="n">
        <v>0</v>
      </c>
      <c r="L797" t="n">
        <v>0</v>
      </c>
      <c r="M797" t="n">
        <v>0</v>
      </c>
      <c r="N797" t="n">
        <v>0</v>
      </c>
      <c r="O797" t="n">
        <v>0</v>
      </c>
      <c r="P797" t="n">
        <v>0</v>
      </c>
      <c r="Q797" t="n">
        <v>0</v>
      </c>
      <c r="R797" s="2" t="inlineStr"/>
    </row>
    <row r="798" ht="15" customHeight="1">
      <c r="A798" t="inlineStr">
        <is>
          <t>A 52332-2018</t>
        </is>
      </c>
      <c r="B798" s="1" t="n">
        <v>43388</v>
      </c>
      <c r="C798" s="1" t="n">
        <v>45227</v>
      </c>
      <c r="D798" t="inlineStr">
        <is>
          <t>VÄSTRA GÖTALANDS LÄN</t>
        </is>
      </c>
      <c r="E798" t="inlineStr">
        <is>
          <t>BOLLEBYGD</t>
        </is>
      </c>
      <c r="G798" t="n">
        <v>0.6</v>
      </c>
      <c r="H798" t="n">
        <v>0</v>
      </c>
      <c r="I798" t="n">
        <v>0</v>
      </c>
      <c r="J798" t="n">
        <v>0</v>
      </c>
      <c r="K798" t="n">
        <v>0</v>
      </c>
      <c r="L798" t="n">
        <v>0</v>
      </c>
      <c r="M798" t="n">
        <v>0</v>
      </c>
      <c r="N798" t="n">
        <v>0</v>
      </c>
      <c r="O798" t="n">
        <v>0</v>
      </c>
      <c r="P798" t="n">
        <v>0</v>
      </c>
      <c r="Q798" t="n">
        <v>0</v>
      </c>
      <c r="R798" s="2" t="inlineStr"/>
    </row>
    <row r="799" ht="15" customHeight="1">
      <c r="A799" t="inlineStr">
        <is>
          <t>A 52501-2018</t>
        </is>
      </c>
      <c r="B799" s="1" t="n">
        <v>43388</v>
      </c>
      <c r="C799" s="1" t="n">
        <v>45227</v>
      </c>
      <c r="D799" t="inlineStr">
        <is>
          <t>VÄSTRA GÖTALANDS LÄN</t>
        </is>
      </c>
      <c r="E799" t="inlineStr">
        <is>
          <t>UDDEVALLA</t>
        </is>
      </c>
      <c r="G799" t="n">
        <v>4.3</v>
      </c>
      <c r="H799" t="n">
        <v>0</v>
      </c>
      <c r="I799" t="n">
        <v>0</v>
      </c>
      <c r="J799" t="n">
        <v>0</v>
      </c>
      <c r="K799" t="n">
        <v>0</v>
      </c>
      <c r="L799" t="n">
        <v>0</v>
      </c>
      <c r="M799" t="n">
        <v>0</v>
      </c>
      <c r="N799" t="n">
        <v>0</v>
      </c>
      <c r="O799" t="n">
        <v>0</v>
      </c>
      <c r="P799" t="n">
        <v>0</v>
      </c>
      <c r="Q799" t="n">
        <v>0</v>
      </c>
      <c r="R799" s="2" t="inlineStr"/>
    </row>
    <row r="800" ht="15" customHeight="1">
      <c r="A800" t="inlineStr">
        <is>
          <t>A 53796-2018</t>
        </is>
      </c>
      <c r="B800" s="1" t="n">
        <v>43388</v>
      </c>
      <c r="C800" s="1" t="n">
        <v>45227</v>
      </c>
      <c r="D800" t="inlineStr">
        <is>
          <t>VÄSTRA GÖTALANDS LÄN</t>
        </is>
      </c>
      <c r="E800" t="inlineStr">
        <is>
          <t>BENGTSFORS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53815-2018</t>
        </is>
      </c>
      <c r="B801" s="1" t="n">
        <v>43388</v>
      </c>
      <c r="C801" s="1" t="n">
        <v>45227</v>
      </c>
      <c r="D801" t="inlineStr">
        <is>
          <t>VÄSTRA GÖTALANDS LÄN</t>
        </is>
      </c>
      <c r="E801" t="inlineStr">
        <is>
          <t>SOTENÄS</t>
        </is>
      </c>
      <c r="G801" t="n">
        <v>4.5</v>
      </c>
      <c r="H801" t="n">
        <v>0</v>
      </c>
      <c r="I801" t="n">
        <v>0</v>
      </c>
      <c r="J801" t="n">
        <v>0</v>
      </c>
      <c r="K801" t="n">
        <v>0</v>
      </c>
      <c r="L801" t="n">
        <v>0</v>
      </c>
      <c r="M801" t="n">
        <v>0</v>
      </c>
      <c r="N801" t="n">
        <v>0</v>
      </c>
      <c r="O801" t="n">
        <v>0</v>
      </c>
      <c r="P801" t="n">
        <v>0</v>
      </c>
      <c r="Q801" t="n">
        <v>0</v>
      </c>
      <c r="R801" s="2" t="inlineStr"/>
    </row>
    <row r="802" ht="15" customHeight="1">
      <c r="A802" t="inlineStr">
        <is>
          <t>A 52235-2018</t>
        </is>
      </c>
      <c r="B802" s="1" t="n">
        <v>43388</v>
      </c>
      <c r="C802" s="1" t="n">
        <v>45227</v>
      </c>
      <c r="D802" t="inlineStr">
        <is>
          <t>VÄSTRA GÖTALANDS LÄN</t>
        </is>
      </c>
      <c r="E802" t="inlineStr">
        <is>
          <t>VÄNERSBORG</t>
        </is>
      </c>
      <c r="G802" t="n">
        <v>4</v>
      </c>
      <c r="H802" t="n">
        <v>0</v>
      </c>
      <c r="I802" t="n">
        <v>0</v>
      </c>
      <c r="J802" t="n">
        <v>0</v>
      </c>
      <c r="K802" t="n">
        <v>0</v>
      </c>
      <c r="L802" t="n">
        <v>0</v>
      </c>
      <c r="M802" t="n">
        <v>0</v>
      </c>
      <c r="N802" t="n">
        <v>0</v>
      </c>
      <c r="O802" t="n">
        <v>0</v>
      </c>
      <c r="P802" t="n">
        <v>0</v>
      </c>
      <c r="Q802" t="n">
        <v>0</v>
      </c>
      <c r="R802" s="2" t="inlineStr"/>
    </row>
    <row r="803" ht="15" customHeight="1">
      <c r="A803" t="inlineStr">
        <is>
          <t>A 52387-2018</t>
        </is>
      </c>
      <c r="B803" s="1" t="n">
        <v>43388</v>
      </c>
      <c r="C803" s="1" t="n">
        <v>45227</v>
      </c>
      <c r="D803" t="inlineStr">
        <is>
          <t>VÄSTRA GÖTALANDS LÄN</t>
        </is>
      </c>
      <c r="E803" t="inlineStr">
        <is>
          <t>ULRICEHAMN</t>
        </is>
      </c>
      <c r="G803" t="n">
        <v>7.5</v>
      </c>
      <c r="H803" t="n">
        <v>0</v>
      </c>
      <c r="I803" t="n">
        <v>0</v>
      </c>
      <c r="J803" t="n">
        <v>0</v>
      </c>
      <c r="K803" t="n">
        <v>0</v>
      </c>
      <c r="L803" t="n">
        <v>0</v>
      </c>
      <c r="M803" t="n">
        <v>0</v>
      </c>
      <c r="N803" t="n">
        <v>0</v>
      </c>
      <c r="O803" t="n">
        <v>0</v>
      </c>
      <c r="P803" t="n">
        <v>0</v>
      </c>
      <c r="Q803" t="n">
        <v>0</v>
      </c>
      <c r="R803" s="2" t="inlineStr"/>
    </row>
    <row r="804" ht="15" customHeight="1">
      <c r="A804" t="inlineStr">
        <is>
          <t>A 52309-2018</t>
        </is>
      </c>
      <c r="B804" s="1" t="n">
        <v>43388</v>
      </c>
      <c r="C804" s="1" t="n">
        <v>45227</v>
      </c>
      <c r="D804" t="inlineStr">
        <is>
          <t>VÄSTRA GÖTALANDS LÄN</t>
        </is>
      </c>
      <c r="E804" t="inlineStr">
        <is>
          <t>GULLSPÅNG</t>
        </is>
      </c>
      <c r="G804" t="n">
        <v>3.8</v>
      </c>
      <c r="H804" t="n">
        <v>0</v>
      </c>
      <c r="I804" t="n">
        <v>0</v>
      </c>
      <c r="J804" t="n">
        <v>0</v>
      </c>
      <c r="K804" t="n">
        <v>0</v>
      </c>
      <c r="L804" t="n">
        <v>0</v>
      </c>
      <c r="M804" t="n">
        <v>0</v>
      </c>
      <c r="N804" t="n">
        <v>0</v>
      </c>
      <c r="O804" t="n">
        <v>0</v>
      </c>
      <c r="P804" t="n">
        <v>0</v>
      </c>
      <c r="Q804" t="n">
        <v>0</v>
      </c>
      <c r="R804" s="2" t="inlineStr"/>
    </row>
    <row r="805" ht="15" customHeight="1">
      <c r="A805" t="inlineStr">
        <is>
          <t>A 52827-2018</t>
        </is>
      </c>
      <c r="B805" s="1" t="n">
        <v>43389</v>
      </c>
      <c r="C805" s="1" t="n">
        <v>45227</v>
      </c>
      <c r="D805" t="inlineStr">
        <is>
          <t>VÄSTRA GÖTALANDS LÄN</t>
        </is>
      </c>
      <c r="E805" t="inlineStr">
        <is>
          <t>TRANEMO</t>
        </is>
      </c>
      <c r="G805" t="n">
        <v>3.2</v>
      </c>
      <c r="H805" t="n">
        <v>0</v>
      </c>
      <c r="I805" t="n">
        <v>0</v>
      </c>
      <c r="J805" t="n">
        <v>0</v>
      </c>
      <c r="K805" t="n">
        <v>0</v>
      </c>
      <c r="L805" t="n">
        <v>0</v>
      </c>
      <c r="M805" t="n">
        <v>0</v>
      </c>
      <c r="N805" t="n">
        <v>0</v>
      </c>
      <c r="O805" t="n">
        <v>0</v>
      </c>
      <c r="P805" t="n">
        <v>0</v>
      </c>
      <c r="Q805" t="n">
        <v>0</v>
      </c>
      <c r="R805" s="2" t="inlineStr"/>
    </row>
    <row r="806" ht="15" customHeight="1">
      <c r="A806" t="inlineStr">
        <is>
          <t>A 54401-2018</t>
        </is>
      </c>
      <c r="B806" s="1" t="n">
        <v>43389</v>
      </c>
      <c r="C806" s="1" t="n">
        <v>45227</v>
      </c>
      <c r="D806" t="inlineStr">
        <is>
          <t>VÄSTRA GÖTALANDS LÄN</t>
        </is>
      </c>
      <c r="E806" t="inlineStr">
        <is>
          <t>KARLSBORG</t>
        </is>
      </c>
      <c r="F806" t="inlineStr">
        <is>
          <t>Kommuner</t>
        </is>
      </c>
      <c r="G806" t="n">
        <v>6.3</v>
      </c>
      <c r="H806" t="n">
        <v>0</v>
      </c>
      <c r="I806" t="n">
        <v>0</v>
      </c>
      <c r="J806" t="n">
        <v>0</v>
      </c>
      <c r="K806" t="n">
        <v>0</v>
      </c>
      <c r="L806" t="n">
        <v>0</v>
      </c>
      <c r="M806" t="n">
        <v>0</v>
      </c>
      <c r="N806" t="n">
        <v>0</v>
      </c>
      <c r="O806" t="n">
        <v>0</v>
      </c>
      <c r="P806" t="n">
        <v>0</v>
      </c>
      <c r="Q806" t="n">
        <v>0</v>
      </c>
      <c r="R806" s="2" t="inlineStr"/>
    </row>
    <row r="807" ht="15" customHeight="1">
      <c r="A807" t="inlineStr">
        <is>
          <t>A 52712-2018</t>
        </is>
      </c>
      <c r="B807" s="1" t="n">
        <v>43389</v>
      </c>
      <c r="C807" s="1" t="n">
        <v>45227</v>
      </c>
      <c r="D807" t="inlineStr">
        <is>
          <t>VÄSTRA GÖTALANDS LÄN</t>
        </is>
      </c>
      <c r="E807" t="inlineStr">
        <is>
          <t>TANUM</t>
        </is>
      </c>
      <c r="G807" t="n">
        <v>1.6</v>
      </c>
      <c r="H807" t="n">
        <v>0</v>
      </c>
      <c r="I807" t="n">
        <v>0</v>
      </c>
      <c r="J807" t="n">
        <v>0</v>
      </c>
      <c r="K807" t="n">
        <v>0</v>
      </c>
      <c r="L807" t="n">
        <v>0</v>
      </c>
      <c r="M807" t="n">
        <v>0</v>
      </c>
      <c r="N807" t="n">
        <v>0</v>
      </c>
      <c r="O807" t="n">
        <v>0</v>
      </c>
      <c r="P807" t="n">
        <v>0</v>
      </c>
      <c r="Q807" t="n">
        <v>0</v>
      </c>
      <c r="R807" s="2" t="inlineStr"/>
    </row>
    <row r="808" ht="15" customHeight="1">
      <c r="A808" t="inlineStr">
        <is>
          <t>A 52980-2018</t>
        </is>
      </c>
      <c r="B808" s="1" t="n">
        <v>43389</v>
      </c>
      <c r="C808" s="1" t="n">
        <v>45227</v>
      </c>
      <c r="D808" t="inlineStr">
        <is>
          <t>VÄSTRA GÖTALANDS LÄN</t>
        </is>
      </c>
      <c r="E808" t="inlineStr">
        <is>
          <t>STENUNGSUND</t>
        </is>
      </c>
      <c r="G808" t="n">
        <v>7.3</v>
      </c>
      <c r="H808" t="n">
        <v>0</v>
      </c>
      <c r="I808" t="n">
        <v>0</v>
      </c>
      <c r="J808" t="n">
        <v>0</v>
      </c>
      <c r="K808" t="n">
        <v>0</v>
      </c>
      <c r="L808" t="n">
        <v>0</v>
      </c>
      <c r="M808" t="n">
        <v>0</v>
      </c>
      <c r="N808" t="n">
        <v>0</v>
      </c>
      <c r="O808" t="n">
        <v>0</v>
      </c>
      <c r="P808" t="n">
        <v>0</v>
      </c>
      <c r="Q808" t="n">
        <v>0</v>
      </c>
      <c r="R808" s="2" t="inlineStr"/>
    </row>
    <row r="809" ht="15" customHeight="1">
      <c r="A809" t="inlineStr">
        <is>
          <t>A 53131-2018</t>
        </is>
      </c>
      <c r="B809" s="1" t="n">
        <v>43390</v>
      </c>
      <c r="C809" s="1" t="n">
        <v>45227</v>
      </c>
      <c r="D809" t="inlineStr">
        <is>
          <t>VÄSTRA GÖTALANDS LÄN</t>
        </is>
      </c>
      <c r="E809" t="inlineStr">
        <is>
          <t>ORUST</t>
        </is>
      </c>
      <c r="G809" t="n">
        <v>5</v>
      </c>
      <c r="H809" t="n">
        <v>0</v>
      </c>
      <c r="I809" t="n">
        <v>0</v>
      </c>
      <c r="J809" t="n">
        <v>0</v>
      </c>
      <c r="K809" t="n">
        <v>0</v>
      </c>
      <c r="L809" t="n">
        <v>0</v>
      </c>
      <c r="M809" t="n">
        <v>0</v>
      </c>
      <c r="N809" t="n">
        <v>0</v>
      </c>
      <c r="O809" t="n">
        <v>0</v>
      </c>
      <c r="P809" t="n">
        <v>0</v>
      </c>
      <c r="Q809" t="n">
        <v>0</v>
      </c>
      <c r="R809" s="2" t="inlineStr"/>
    </row>
    <row r="810" ht="15" customHeight="1">
      <c r="A810" t="inlineStr">
        <is>
          <t>A 53253-2018</t>
        </is>
      </c>
      <c r="B810" s="1" t="n">
        <v>43390</v>
      </c>
      <c r="C810" s="1" t="n">
        <v>45227</v>
      </c>
      <c r="D810" t="inlineStr">
        <is>
          <t>VÄSTRA GÖTALANDS LÄN</t>
        </is>
      </c>
      <c r="E810" t="inlineStr">
        <is>
          <t>BENGTSFORS</t>
        </is>
      </c>
      <c r="G810" t="n">
        <v>1.1</v>
      </c>
      <c r="H810" t="n">
        <v>0</v>
      </c>
      <c r="I810" t="n">
        <v>0</v>
      </c>
      <c r="J810" t="n">
        <v>0</v>
      </c>
      <c r="K810" t="n">
        <v>0</v>
      </c>
      <c r="L810" t="n">
        <v>0</v>
      </c>
      <c r="M810" t="n">
        <v>0</v>
      </c>
      <c r="N810" t="n">
        <v>0</v>
      </c>
      <c r="O810" t="n">
        <v>0</v>
      </c>
      <c r="P810" t="n">
        <v>0</v>
      </c>
      <c r="Q810" t="n">
        <v>0</v>
      </c>
      <c r="R810" s="2" t="inlineStr"/>
    </row>
    <row r="811" ht="15" customHeight="1">
      <c r="A811" t="inlineStr">
        <is>
          <t>A 53471-2018</t>
        </is>
      </c>
      <c r="B811" s="1" t="n">
        <v>43390</v>
      </c>
      <c r="C811" s="1" t="n">
        <v>45227</v>
      </c>
      <c r="D811" t="inlineStr">
        <is>
          <t>VÄSTRA GÖTALANDS LÄN</t>
        </is>
      </c>
      <c r="E811" t="inlineStr">
        <is>
          <t>TIDAHOLM</t>
        </is>
      </c>
      <c r="G811" t="n">
        <v>6.4</v>
      </c>
      <c r="H811" t="n">
        <v>0</v>
      </c>
      <c r="I811" t="n">
        <v>0</v>
      </c>
      <c r="J811" t="n">
        <v>0</v>
      </c>
      <c r="K811" t="n">
        <v>0</v>
      </c>
      <c r="L811" t="n">
        <v>0</v>
      </c>
      <c r="M811" t="n">
        <v>0</v>
      </c>
      <c r="N811" t="n">
        <v>0</v>
      </c>
      <c r="O811" t="n">
        <v>0</v>
      </c>
      <c r="P811" t="n">
        <v>0</v>
      </c>
      <c r="Q811" t="n">
        <v>0</v>
      </c>
      <c r="R811" s="2" t="inlineStr"/>
    </row>
    <row r="812" ht="15" customHeight="1">
      <c r="A812" t="inlineStr">
        <is>
          <t>A 53104-2018</t>
        </is>
      </c>
      <c r="B812" s="1" t="n">
        <v>43390</v>
      </c>
      <c r="C812" s="1" t="n">
        <v>45227</v>
      </c>
      <c r="D812" t="inlineStr">
        <is>
          <t>VÄSTRA GÖTALANDS LÄN</t>
        </is>
      </c>
      <c r="E812" t="inlineStr">
        <is>
          <t>SKARA</t>
        </is>
      </c>
      <c r="G812" t="n">
        <v>0.8</v>
      </c>
      <c r="H812" t="n">
        <v>0</v>
      </c>
      <c r="I812" t="n">
        <v>0</v>
      </c>
      <c r="J812" t="n">
        <v>0</v>
      </c>
      <c r="K812" t="n">
        <v>0</v>
      </c>
      <c r="L812" t="n">
        <v>0</v>
      </c>
      <c r="M812" t="n">
        <v>0</v>
      </c>
      <c r="N812" t="n">
        <v>0</v>
      </c>
      <c r="O812" t="n">
        <v>0</v>
      </c>
      <c r="P812" t="n">
        <v>0</v>
      </c>
      <c r="Q812" t="n">
        <v>0</v>
      </c>
      <c r="R812" s="2" t="inlineStr"/>
    </row>
    <row r="813" ht="15" customHeight="1">
      <c r="A813" t="inlineStr">
        <is>
          <t>A 53332-2018</t>
        </is>
      </c>
      <c r="B813" s="1" t="n">
        <v>43390</v>
      </c>
      <c r="C813" s="1" t="n">
        <v>45227</v>
      </c>
      <c r="D813" t="inlineStr">
        <is>
          <t>VÄSTRA GÖTALANDS LÄN</t>
        </is>
      </c>
      <c r="E813" t="inlineStr">
        <is>
          <t>FÄRGELANDA</t>
        </is>
      </c>
      <c r="G813" t="n">
        <v>0.8</v>
      </c>
      <c r="H813" t="n">
        <v>0</v>
      </c>
      <c r="I813" t="n">
        <v>0</v>
      </c>
      <c r="J813" t="n">
        <v>0</v>
      </c>
      <c r="K813" t="n">
        <v>0</v>
      </c>
      <c r="L813" t="n">
        <v>0</v>
      </c>
      <c r="M813" t="n">
        <v>0</v>
      </c>
      <c r="N813" t="n">
        <v>0</v>
      </c>
      <c r="O813" t="n">
        <v>0</v>
      </c>
      <c r="P813" t="n">
        <v>0</v>
      </c>
      <c r="Q813" t="n">
        <v>0</v>
      </c>
      <c r="R813" s="2" t="inlineStr"/>
    </row>
    <row r="814" ht="15" customHeight="1">
      <c r="A814" t="inlineStr">
        <is>
          <t>A 53068-2018</t>
        </is>
      </c>
      <c r="B814" s="1" t="n">
        <v>43390</v>
      </c>
      <c r="C814" s="1" t="n">
        <v>45227</v>
      </c>
      <c r="D814" t="inlineStr">
        <is>
          <t>VÄSTRA GÖTALANDS LÄN</t>
        </is>
      </c>
      <c r="E814" t="inlineStr">
        <is>
          <t>SVENLJUNGA</t>
        </is>
      </c>
      <c r="F814" t="inlineStr">
        <is>
          <t>Kommuner</t>
        </is>
      </c>
      <c r="G814" t="n">
        <v>2.9</v>
      </c>
      <c r="H814" t="n">
        <v>0</v>
      </c>
      <c r="I814" t="n">
        <v>0</v>
      </c>
      <c r="J814" t="n">
        <v>0</v>
      </c>
      <c r="K814" t="n">
        <v>0</v>
      </c>
      <c r="L814" t="n">
        <v>0</v>
      </c>
      <c r="M814" t="n">
        <v>0</v>
      </c>
      <c r="N814" t="n">
        <v>0</v>
      </c>
      <c r="O814" t="n">
        <v>0</v>
      </c>
      <c r="P814" t="n">
        <v>0</v>
      </c>
      <c r="Q814" t="n">
        <v>0</v>
      </c>
      <c r="R814" s="2" t="inlineStr"/>
    </row>
    <row r="815" ht="15" customHeight="1">
      <c r="A815" t="inlineStr">
        <is>
          <t>A 53213-2018</t>
        </is>
      </c>
      <c r="B815" s="1" t="n">
        <v>43390</v>
      </c>
      <c r="C815" s="1" t="n">
        <v>45227</v>
      </c>
      <c r="D815" t="inlineStr">
        <is>
          <t>VÄSTRA GÖTALANDS LÄN</t>
        </is>
      </c>
      <c r="E815" t="inlineStr">
        <is>
          <t>LILLA EDET</t>
        </is>
      </c>
      <c r="G815" t="n">
        <v>1</v>
      </c>
      <c r="H815" t="n">
        <v>0</v>
      </c>
      <c r="I815" t="n">
        <v>0</v>
      </c>
      <c r="J815" t="n">
        <v>0</v>
      </c>
      <c r="K815" t="n">
        <v>0</v>
      </c>
      <c r="L815" t="n">
        <v>0</v>
      </c>
      <c r="M815" t="n">
        <v>0</v>
      </c>
      <c r="N815" t="n">
        <v>0</v>
      </c>
      <c r="O815" t="n">
        <v>0</v>
      </c>
      <c r="P815" t="n">
        <v>0</v>
      </c>
      <c r="Q815" t="n">
        <v>0</v>
      </c>
      <c r="R815" s="2" t="inlineStr"/>
    </row>
    <row r="816" ht="15" customHeight="1">
      <c r="A816" t="inlineStr">
        <is>
          <t>A 53465-2018</t>
        </is>
      </c>
      <c r="B816" s="1" t="n">
        <v>43390</v>
      </c>
      <c r="C816" s="1" t="n">
        <v>45227</v>
      </c>
      <c r="D816" t="inlineStr">
        <is>
          <t>VÄSTRA GÖTALANDS LÄN</t>
        </is>
      </c>
      <c r="E816" t="inlineStr">
        <is>
          <t>ULRICEHAMN</t>
        </is>
      </c>
      <c r="G816" t="n">
        <v>1.8</v>
      </c>
      <c r="H816" t="n">
        <v>0</v>
      </c>
      <c r="I816" t="n">
        <v>0</v>
      </c>
      <c r="J816" t="n">
        <v>0</v>
      </c>
      <c r="K816" t="n">
        <v>0</v>
      </c>
      <c r="L816" t="n">
        <v>0</v>
      </c>
      <c r="M816" t="n">
        <v>0</v>
      </c>
      <c r="N816" t="n">
        <v>0</v>
      </c>
      <c r="O816" t="n">
        <v>0</v>
      </c>
      <c r="P816" t="n">
        <v>0</v>
      </c>
      <c r="Q816" t="n">
        <v>0</v>
      </c>
      <c r="R816" s="2" t="inlineStr"/>
    </row>
    <row r="817" ht="15" customHeight="1">
      <c r="A817" t="inlineStr">
        <is>
          <t>A 54519-2018</t>
        </is>
      </c>
      <c r="B817" s="1" t="n">
        <v>43390</v>
      </c>
      <c r="C817" s="1" t="n">
        <v>45227</v>
      </c>
      <c r="D817" t="inlineStr">
        <is>
          <t>VÄSTRA GÖTALANDS LÄN</t>
        </is>
      </c>
      <c r="E817" t="inlineStr">
        <is>
          <t>MELLERUD</t>
        </is>
      </c>
      <c r="G817" t="n">
        <v>4</v>
      </c>
      <c r="H817" t="n">
        <v>0</v>
      </c>
      <c r="I817" t="n">
        <v>0</v>
      </c>
      <c r="J817" t="n">
        <v>0</v>
      </c>
      <c r="K817" t="n">
        <v>0</v>
      </c>
      <c r="L817" t="n">
        <v>0</v>
      </c>
      <c r="M817" t="n">
        <v>0</v>
      </c>
      <c r="N817" t="n">
        <v>0</v>
      </c>
      <c r="O817" t="n">
        <v>0</v>
      </c>
      <c r="P817" t="n">
        <v>0</v>
      </c>
      <c r="Q817" t="n">
        <v>0</v>
      </c>
      <c r="R817" s="2" t="inlineStr"/>
    </row>
    <row r="818" ht="15" customHeight="1">
      <c r="A818" t="inlineStr">
        <is>
          <t>A 53648-2018</t>
        </is>
      </c>
      <c r="B818" s="1" t="n">
        <v>43391</v>
      </c>
      <c r="C818" s="1" t="n">
        <v>45227</v>
      </c>
      <c r="D818" t="inlineStr">
        <is>
          <t>VÄSTRA GÖTALANDS LÄN</t>
        </is>
      </c>
      <c r="E818" t="inlineStr">
        <is>
          <t>FÄRGELANDA</t>
        </is>
      </c>
      <c r="G818" t="n">
        <v>1</v>
      </c>
      <c r="H818" t="n">
        <v>0</v>
      </c>
      <c r="I818" t="n">
        <v>0</v>
      </c>
      <c r="J818" t="n">
        <v>0</v>
      </c>
      <c r="K818" t="n">
        <v>0</v>
      </c>
      <c r="L818" t="n">
        <v>0</v>
      </c>
      <c r="M818" t="n">
        <v>0</v>
      </c>
      <c r="N818" t="n">
        <v>0</v>
      </c>
      <c r="O818" t="n">
        <v>0</v>
      </c>
      <c r="P818" t="n">
        <v>0</v>
      </c>
      <c r="Q818" t="n">
        <v>0</v>
      </c>
      <c r="R818" s="2" t="inlineStr"/>
    </row>
    <row r="819" ht="15" customHeight="1">
      <c r="A819" t="inlineStr">
        <is>
          <t>A 53552-2018</t>
        </is>
      </c>
      <c r="B819" s="1" t="n">
        <v>43391</v>
      </c>
      <c r="C819" s="1" t="n">
        <v>45227</v>
      </c>
      <c r="D819" t="inlineStr">
        <is>
          <t>VÄSTRA GÖTALANDS LÄN</t>
        </is>
      </c>
      <c r="E819" t="inlineStr">
        <is>
          <t>LERUM</t>
        </is>
      </c>
      <c r="G819" t="n">
        <v>1.6</v>
      </c>
      <c r="H819" t="n">
        <v>0</v>
      </c>
      <c r="I819" t="n">
        <v>0</v>
      </c>
      <c r="J819" t="n">
        <v>0</v>
      </c>
      <c r="K819" t="n">
        <v>0</v>
      </c>
      <c r="L819" t="n">
        <v>0</v>
      </c>
      <c r="M819" t="n">
        <v>0</v>
      </c>
      <c r="N819" t="n">
        <v>0</v>
      </c>
      <c r="O819" t="n">
        <v>0</v>
      </c>
      <c r="P819" t="n">
        <v>0</v>
      </c>
      <c r="Q819" t="n">
        <v>0</v>
      </c>
      <c r="R819" s="2" t="inlineStr"/>
    </row>
    <row r="820" ht="15" customHeight="1">
      <c r="A820" t="inlineStr">
        <is>
          <t>A 53673-2018</t>
        </is>
      </c>
      <c r="B820" s="1" t="n">
        <v>43391</v>
      </c>
      <c r="C820" s="1" t="n">
        <v>45227</v>
      </c>
      <c r="D820" t="inlineStr">
        <is>
          <t>VÄSTRA GÖTALANDS LÄN</t>
        </is>
      </c>
      <c r="E820" t="inlineStr">
        <is>
          <t>MUNKEDAL</t>
        </is>
      </c>
      <c r="G820" t="n">
        <v>0.8</v>
      </c>
      <c r="H820" t="n">
        <v>0</v>
      </c>
      <c r="I820" t="n">
        <v>0</v>
      </c>
      <c r="J820" t="n">
        <v>0</v>
      </c>
      <c r="K820" t="n">
        <v>0</v>
      </c>
      <c r="L820" t="n">
        <v>0</v>
      </c>
      <c r="M820" t="n">
        <v>0</v>
      </c>
      <c r="N820" t="n">
        <v>0</v>
      </c>
      <c r="O820" t="n">
        <v>0</v>
      </c>
      <c r="P820" t="n">
        <v>0</v>
      </c>
      <c r="Q820" t="n">
        <v>0</v>
      </c>
      <c r="R820" s="2" t="inlineStr"/>
    </row>
    <row r="821" ht="15" customHeight="1">
      <c r="A821" t="inlineStr">
        <is>
          <t>A 53742-2018</t>
        </is>
      </c>
      <c r="B821" s="1" t="n">
        <v>43391</v>
      </c>
      <c r="C821" s="1" t="n">
        <v>45227</v>
      </c>
      <c r="D821" t="inlineStr">
        <is>
          <t>VÄSTRA GÖTALANDS LÄN</t>
        </is>
      </c>
      <c r="E821" t="inlineStr">
        <is>
          <t>MARK</t>
        </is>
      </c>
      <c r="G821" t="n">
        <v>3.4</v>
      </c>
      <c r="H821" t="n">
        <v>0</v>
      </c>
      <c r="I821" t="n">
        <v>0</v>
      </c>
      <c r="J821" t="n">
        <v>0</v>
      </c>
      <c r="K821" t="n">
        <v>0</v>
      </c>
      <c r="L821" t="n">
        <v>0</v>
      </c>
      <c r="M821" t="n">
        <v>0</v>
      </c>
      <c r="N821" t="n">
        <v>0</v>
      </c>
      <c r="O821" t="n">
        <v>0</v>
      </c>
      <c r="P821" t="n">
        <v>0</v>
      </c>
      <c r="Q821" t="n">
        <v>0</v>
      </c>
      <c r="R821" s="2" t="inlineStr"/>
    </row>
    <row r="822" ht="15" customHeight="1">
      <c r="A822" t="inlineStr">
        <is>
          <t>A 53554-2018</t>
        </is>
      </c>
      <c r="B822" s="1" t="n">
        <v>43391</v>
      </c>
      <c r="C822" s="1" t="n">
        <v>45227</v>
      </c>
      <c r="D822" t="inlineStr">
        <is>
          <t>VÄSTRA GÖTALANDS LÄN</t>
        </is>
      </c>
      <c r="E822" t="inlineStr">
        <is>
          <t>LERUM</t>
        </is>
      </c>
      <c r="G822" t="n">
        <v>4.3</v>
      </c>
      <c r="H822" t="n">
        <v>0</v>
      </c>
      <c r="I822" t="n">
        <v>0</v>
      </c>
      <c r="J822" t="n">
        <v>0</v>
      </c>
      <c r="K822" t="n">
        <v>0</v>
      </c>
      <c r="L822" t="n">
        <v>0</v>
      </c>
      <c r="M822" t="n">
        <v>0</v>
      </c>
      <c r="N822" t="n">
        <v>0</v>
      </c>
      <c r="O822" t="n">
        <v>0</v>
      </c>
      <c r="P822" t="n">
        <v>0</v>
      </c>
      <c r="Q822" t="n">
        <v>0</v>
      </c>
      <c r="R822" s="2" t="inlineStr"/>
    </row>
    <row r="823" ht="15" customHeight="1">
      <c r="A823" t="inlineStr">
        <is>
          <t>A 53743-2018</t>
        </is>
      </c>
      <c r="B823" s="1" t="n">
        <v>43391</v>
      </c>
      <c r="C823" s="1" t="n">
        <v>45227</v>
      </c>
      <c r="D823" t="inlineStr">
        <is>
          <t>VÄSTRA GÖTALANDS LÄN</t>
        </is>
      </c>
      <c r="E823" t="inlineStr">
        <is>
          <t>BORÅS</t>
        </is>
      </c>
      <c r="G823" t="n">
        <v>1.3</v>
      </c>
      <c r="H823" t="n">
        <v>0</v>
      </c>
      <c r="I823" t="n">
        <v>0</v>
      </c>
      <c r="J823" t="n">
        <v>0</v>
      </c>
      <c r="K823" t="n">
        <v>0</v>
      </c>
      <c r="L823" t="n">
        <v>0</v>
      </c>
      <c r="M823" t="n">
        <v>0</v>
      </c>
      <c r="N823" t="n">
        <v>0</v>
      </c>
      <c r="O823" t="n">
        <v>0</v>
      </c>
      <c r="P823" t="n">
        <v>0</v>
      </c>
      <c r="Q823" t="n">
        <v>0</v>
      </c>
      <c r="R823" s="2" t="inlineStr"/>
    </row>
    <row r="824" ht="15" customHeight="1">
      <c r="A824" t="inlineStr">
        <is>
          <t>A 55879-2018</t>
        </is>
      </c>
      <c r="B824" s="1" t="n">
        <v>43392</v>
      </c>
      <c r="C824" s="1" t="n">
        <v>45227</v>
      </c>
      <c r="D824" t="inlineStr">
        <is>
          <t>VÄSTRA GÖTALANDS LÄN</t>
        </is>
      </c>
      <c r="E824" t="inlineStr">
        <is>
          <t>VARA</t>
        </is>
      </c>
      <c r="G824" t="n">
        <v>1.5</v>
      </c>
      <c r="H824" t="n">
        <v>0</v>
      </c>
      <c r="I824" t="n">
        <v>0</v>
      </c>
      <c r="J824" t="n">
        <v>0</v>
      </c>
      <c r="K824" t="n">
        <v>0</v>
      </c>
      <c r="L824" t="n">
        <v>0</v>
      </c>
      <c r="M824" t="n">
        <v>0</v>
      </c>
      <c r="N824" t="n">
        <v>0</v>
      </c>
      <c r="O824" t="n">
        <v>0</v>
      </c>
      <c r="P824" t="n">
        <v>0</v>
      </c>
      <c r="Q824" t="n">
        <v>0</v>
      </c>
      <c r="R824" s="2" t="inlineStr"/>
    </row>
    <row r="825" ht="15" customHeight="1">
      <c r="A825" t="inlineStr">
        <is>
          <t>A 55891-2018</t>
        </is>
      </c>
      <c r="B825" s="1" t="n">
        <v>43392</v>
      </c>
      <c r="C825" s="1" t="n">
        <v>45227</v>
      </c>
      <c r="D825" t="inlineStr">
        <is>
          <t>VÄSTRA GÖTALANDS LÄN</t>
        </is>
      </c>
      <c r="E825" t="inlineStr">
        <is>
          <t>GULLSPÅNG</t>
        </is>
      </c>
      <c r="G825" t="n">
        <v>2.9</v>
      </c>
      <c r="H825" t="n">
        <v>0</v>
      </c>
      <c r="I825" t="n">
        <v>0</v>
      </c>
      <c r="J825" t="n">
        <v>0</v>
      </c>
      <c r="K825" t="n">
        <v>0</v>
      </c>
      <c r="L825" t="n">
        <v>0</v>
      </c>
      <c r="M825" t="n">
        <v>0</v>
      </c>
      <c r="N825" t="n">
        <v>0</v>
      </c>
      <c r="O825" t="n">
        <v>0</v>
      </c>
      <c r="P825" t="n">
        <v>0</v>
      </c>
      <c r="Q825" t="n">
        <v>0</v>
      </c>
      <c r="R825" s="2" t="inlineStr"/>
    </row>
    <row r="826" ht="15" customHeight="1">
      <c r="A826" t="inlineStr">
        <is>
          <t>A 55526-2018</t>
        </is>
      </c>
      <c r="B826" s="1" t="n">
        <v>43392</v>
      </c>
      <c r="C826" s="1" t="n">
        <v>45227</v>
      </c>
      <c r="D826" t="inlineStr">
        <is>
          <t>VÄSTRA GÖTALANDS LÄN</t>
        </is>
      </c>
      <c r="E826" t="inlineStr">
        <is>
          <t>FALKÖPING</t>
        </is>
      </c>
      <c r="G826" t="n">
        <v>1.2</v>
      </c>
      <c r="H826" t="n">
        <v>0</v>
      </c>
      <c r="I826" t="n">
        <v>0</v>
      </c>
      <c r="J826" t="n">
        <v>0</v>
      </c>
      <c r="K826" t="n">
        <v>0</v>
      </c>
      <c r="L826" t="n">
        <v>0</v>
      </c>
      <c r="M826" t="n">
        <v>0</v>
      </c>
      <c r="N826" t="n">
        <v>0</v>
      </c>
      <c r="O826" t="n">
        <v>0</v>
      </c>
      <c r="P826" t="n">
        <v>0</v>
      </c>
      <c r="Q826" t="n">
        <v>0</v>
      </c>
      <c r="R826" s="2" t="inlineStr"/>
    </row>
    <row r="827" ht="15" customHeight="1">
      <c r="A827" t="inlineStr">
        <is>
          <t>A 54238-2018</t>
        </is>
      </c>
      <c r="B827" s="1" t="n">
        <v>43393</v>
      </c>
      <c r="C827" s="1" t="n">
        <v>45227</v>
      </c>
      <c r="D827" t="inlineStr">
        <is>
          <t>VÄSTRA GÖTALANDS LÄN</t>
        </is>
      </c>
      <c r="E827" t="inlineStr">
        <is>
          <t>ULRICEHAMN</t>
        </is>
      </c>
      <c r="G827" t="n">
        <v>13.7</v>
      </c>
      <c r="H827" t="n">
        <v>0</v>
      </c>
      <c r="I827" t="n">
        <v>0</v>
      </c>
      <c r="J827" t="n">
        <v>0</v>
      </c>
      <c r="K827" t="n">
        <v>0</v>
      </c>
      <c r="L827" t="n">
        <v>0</v>
      </c>
      <c r="M827" t="n">
        <v>0</v>
      </c>
      <c r="N827" t="n">
        <v>0</v>
      </c>
      <c r="O827" t="n">
        <v>0</v>
      </c>
      <c r="P827" t="n">
        <v>0</v>
      </c>
      <c r="Q827" t="n">
        <v>0</v>
      </c>
      <c r="R827" s="2" t="inlineStr"/>
    </row>
    <row r="828" ht="15" customHeight="1">
      <c r="A828" t="inlineStr">
        <is>
          <t>A 54239-2018</t>
        </is>
      </c>
      <c r="B828" s="1" t="n">
        <v>43393</v>
      </c>
      <c r="C828" s="1" t="n">
        <v>45227</v>
      </c>
      <c r="D828" t="inlineStr">
        <is>
          <t>VÄSTRA GÖTALANDS LÄN</t>
        </is>
      </c>
      <c r="E828" t="inlineStr">
        <is>
          <t>ULRICEHAMN</t>
        </is>
      </c>
      <c r="G828" t="n">
        <v>13.7</v>
      </c>
      <c r="H828" t="n">
        <v>0</v>
      </c>
      <c r="I828" t="n">
        <v>0</v>
      </c>
      <c r="J828" t="n">
        <v>0</v>
      </c>
      <c r="K828" t="n">
        <v>0</v>
      </c>
      <c r="L828" t="n">
        <v>0</v>
      </c>
      <c r="M828" t="n">
        <v>0</v>
      </c>
      <c r="N828" t="n">
        <v>0</v>
      </c>
      <c r="O828" t="n">
        <v>0</v>
      </c>
      <c r="P828" t="n">
        <v>0</v>
      </c>
      <c r="Q828" t="n">
        <v>0</v>
      </c>
      <c r="R828" s="2" t="inlineStr"/>
    </row>
    <row r="829" ht="15" customHeight="1">
      <c r="A829" t="inlineStr">
        <is>
          <t>A 54431-2018</t>
        </is>
      </c>
      <c r="B829" s="1" t="n">
        <v>43395</v>
      </c>
      <c r="C829" s="1" t="n">
        <v>45227</v>
      </c>
      <c r="D829" t="inlineStr">
        <is>
          <t>VÄSTRA GÖTALANDS LÄN</t>
        </is>
      </c>
      <c r="E829" t="inlineStr">
        <is>
          <t>ALINGSÅS</t>
        </is>
      </c>
      <c r="G829" t="n">
        <v>2.2</v>
      </c>
      <c r="H829" t="n">
        <v>0</v>
      </c>
      <c r="I829" t="n">
        <v>0</v>
      </c>
      <c r="J829" t="n">
        <v>0</v>
      </c>
      <c r="K829" t="n">
        <v>0</v>
      </c>
      <c r="L829" t="n">
        <v>0</v>
      </c>
      <c r="M829" t="n">
        <v>0</v>
      </c>
      <c r="N829" t="n">
        <v>0</v>
      </c>
      <c r="O829" t="n">
        <v>0</v>
      </c>
      <c r="P829" t="n">
        <v>0</v>
      </c>
      <c r="Q829" t="n">
        <v>0</v>
      </c>
      <c r="R829" s="2" t="inlineStr"/>
    </row>
    <row r="830" ht="15" customHeight="1">
      <c r="A830" t="inlineStr">
        <is>
          <t>A 54640-2018</t>
        </is>
      </c>
      <c r="B830" s="1" t="n">
        <v>43395</v>
      </c>
      <c r="C830" s="1" t="n">
        <v>45227</v>
      </c>
      <c r="D830" t="inlineStr">
        <is>
          <t>VÄSTRA GÖTALANDS LÄN</t>
        </is>
      </c>
      <c r="E830" t="inlineStr">
        <is>
          <t>MARK</t>
        </is>
      </c>
      <c r="G830" t="n">
        <v>5.3</v>
      </c>
      <c r="H830" t="n">
        <v>0</v>
      </c>
      <c r="I830" t="n">
        <v>0</v>
      </c>
      <c r="J830" t="n">
        <v>0</v>
      </c>
      <c r="K830" t="n">
        <v>0</v>
      </c>
      <c r="L830" t="n">
        <v>0</v>
      </c>
      <c r="M830" t="n">
        <v>0</v>
      </c>
      <c r="N830" t="n">
        <v>0</v>
      </c>
      <c r="O830" t="n">
        <v>0</v>
      </c>
      <c r="P830" t="n">
        <v>0</v>
      </c>
      <c r="Q830" t="n">
        <v>0</v>
      </c>
      <c r="R830" s="2" t="inlineStr"/>
    </row>
    <row r="831" ht="15" customHeight="1">
      <c r="A831" t="inlineStr">
        <is>
          <t>A 55905-2018</t>
        </is>
      </c>
      <c r="B831" s="1" t="n">
        <v>43395</v>
      </c>
      <c r="C831" s="1" t="n">
        <v>45227</v>
      </c>
      <c r="D831" t="inlineStr">
        <is>
          <t>VÄSTRA GÖTALANDS LÄN</t>
        </is>
      </c>
      <c r="E831" t="inlineStr">
        <is>
          <t>TÖREBODA</t>
        </is>
      </c>
      <c r="G831" t="n">
        <v>1.8</v>
      </c>
      <c r="H831" t="n">
        <v>0</v>
      </c>
      <c r="I831" t="n">
        <v>0</v>
      </c>
      <c r="J831" t="n">
        <v>0</v>
      </c>
      <c r="K831" t="n">
        <v>0</v>
      </c>
      <c r="L831" t="n">
        <v>0</v>
      </c>
      <c r="M831" t="n">
        <v>0</v>
      </c>
      <c r="N831" t="n">
        <v>0</v>
      </c>
      <c r="O831" t="n">
        <v>0</v>
      </c>
      <c r="P831" t="n">
        <v>0</v>
      </c>
      <c r="Q831" t="n">
        <v>0</v>
      </c>
      <c r="R831" s="2" t="inlineStr"/>
    </row>
    <row r="832" ht="15" customHeight="1">
      <c r="A832" t="inlineStr">
        <is>
          <t>A 56879-2018</t>
        </is>
      </c>
      <c r="B832" s="1" t="n">
        <v>43395</v>
      </c>
      <c r="C832" s="1" t="n">
        <v>45227</v>
      </c>
      <c r="D832" t="inlineStr">
        <is>
          <t>VÄSTRA GÖTALANDS LÄN</t>
        </is>
      </c>
      <c r="E832" t="inlineStr">
        <is>
          <t>SKARA</t>
        </is>
      </c>
      <c r="G832" t="n">
        <v>3</v>
      </c>
      <c r="H832" t="n">
        <v>0</v>
      </c>
      <c r="I832" t="n">
        <v>0</v>
      </c>
      <c r="J832" t="n">
        <v>0</v>
      </c>
      <c r="K832" t="n">
        <v>0</v>
      </c>
      <c r="L832" t="n">
        <v>0</v>
      </c>
      <c r="M832" t="n">
        <v>0</v>
      </c>
      <c r="N832" t="n">
        <v>0</v>
      </c>
      <c r="O832" t="n">
        <v>0</v>
      </c>
      <c r="P832" t="n">
        <v>0</v>
      </c>
      <c r="Q832" t="n">
        <v>0</v>
      </c>
      <c r="R832" s="2" t="inlineStr"/>
    </row>
    <row r="833" ht="15" customHeight="1">
      <c r="A833" t="inlineStr">
        <is>
          <t>A 55917-2018</t>
        </is>
      </c>
      <c r="B833" s="1" t="n">
        <v>43395</v>
      </c>
      <c r="C833" s="1" t="n">
        <v>45227</v>
      </c>
      <c r="D833" t="inlineStr">
        <is>
          <t>VÄSTRA GÖTALANDS LÄN</t>
        </is>
      </c>
      <c r="E833" t="inlineStr">
        <is>
          <t>TÖREBODA</t>
        </is>
      </c>
      <c r="G833" t="n">
        <v>3.2</v>
      </c>
      <c r="H833" t="n">
        <v>0</v>
      </c>
      <c r="I833" t="n">
        <v>0</v>
      </c>
      <c r="J833" t="n">
        <v>0</v>
      </c>
      <c r="K833" t="n">
        <v>0</v>
      </c>
      <c r="L833" t="n">
        <v>0</v>
      </c>
      <c r="M833" t="n">
        <v>0</v>
      </c>
      <c r="N833" t="n">
        <v>0</v>
      </c>
      <c r="O833" t="n">
        <v>0</v>
      </c>
      <c r="P833" t="n">
        <v>0</v>
      </c>
      <c r="Q833" t="n">
        <v>0</v>
      </c>
      <c r="R833" s="2" t="inlineStr"/>
    </row>
    <row r="834" ht="15" customHeight="1">
      <c r="A834" t="inlineStr">
        <is>
          <t>A 54471-2018</t>
        </is>
      </c>
      <c r="B834" s="1" t="n">
        <v>43395</v>
      </c>
      <c r="C834" s="1" t="n">
        <v>45227</v>
      </c>
      <c r="D834" t="inlineStr">
        <is>
          <t>VÄSTRA GÖTALANDS LÄN</t>
        </is>
      </c>
      <c r="E834" t="inlineStr">
        <is>
          <t>ULRICEHAMN</t>
        </is>
      </c>
      <c r="G834" t="n">
        <v>6</v>
      </c>
      <c r="H834" t="n">
        <v>0</v>
      </c>
      <c r="I834" t="n">
        <v>0</v>
      </c>
      <c r="J834" t="n">
        <v>0</v>
      </c>
      <c r="K834" t="n">
        <v>0</v>
      </c>
      <c r="L834" t="n">
        <v>0</v>
      </c>
      <c r="M834" t="n">
        <v>0</v>
      </c>
      <c r="N834" t="n">
        <v>0</v>
      </c>
      <c r="O834" t="n">
        <v>0</v>
      </c>
      <c r="P834" t="n">
        <v>0</v>
      </c>
      <c r="Q834" t="n">
        <v>0</v>
      </c>
      <c r="R834" s="2" t="inlineStr"/>
    </row>
    <row r="835" ht="15" customHeight="1">
      <c r="A835" t="inlineStr">
        <is>
          <t>A 55936-2018</t>
        </is>
      </c>
      <c r="B835" s="1" t="n">
        <v>43395</v>
      </c>
      <c r="C835" s="1" t="n">
        <v>45227</v>
      </c>
      <c r="D835" t="inlineStr">
        <is>
          <t>VÄSTRA GÖTALANDS LÄN</t>
        </is>
      </c>
      <c r="E835" t="inlineStr">
        <is>
          <t>TÖREBODA</t>
        </is>
      </c>
      <c r="G835" t="n">
        <v>11.5</v>
      </c>
      <c r="H835" t="n">
        <v>0</v>
      </c>
      <c r="I835" t="n">
        <v>0</v>
      </c>
      <c r="J835" t="n">
        <v>0</v>
      </c>
      <c r="K835" t="n">
        <v>0</v>
      </c>
      <c r="L835" t="n">
        <v>0</v>
      </c>
      <c r="M835" t="n">
        <v>0</v>
      </c>
      <c r="N835" t="n">
        <v>0</v>
      </c>
      <c r="O835" t="n">
        <v>0</v>
      </c>
      <c r="P835" t="n">
        <v>0</v>
      </c>
      <c r="Q835" t="n">
        <v>0</v>
      </c>
      <c r="R835" s="2" t="inlineStr"/>
    </row>
    <row r="836" ht="15" customHeight="1">
      <c r="A836" t="inlineStr">
        <is>
          <t>A 55191-2018</t>
        </is>
      </c>
      <c r="B836" s="1" t="n">
        <v>43396</v>
      </c>
      <c r="C836" s="1" t="n">
        <v>45227</v>
      </c>
      <c r="D836" t="inlineStr">
        <is>
          <t>VÄSTRA GÖTALANDS LÄN</t>
        </is>
      </c>
      <c r="E836" t="inlineStr">
        <is>
          <t>DALS-ED</t>
        </is>
      </c>
      <c r="G836" t="n">
        <v>2.8</v>
      </c>
      <c r="H836" t="n">
        <v>0</v>
      </c>
      <c r="I836" t="n">
        <v>0</v>
      </c>
      <c r="J836" t="n">
        <v>0</v>
      </c>
      <c r="K836" t="n">
        <v>0</v>
      </c>
      <c r="L836" t="n">
        <v>0</v>
      </c>
      <c r="M836" t="n">
        <v>0</v>
      </c>
      <c r="N836" t="n">
        <v>0</v>
      </c>
      <c r="O836" t="n">
        <v>0</v>
      </c>
      <c r="P836" t="n">
        <v>0</v>
      </c>
      <c r="Q836" t="n">
        <v>0</v>
      </c>
      <c r="R836" s="2" t="inlineStr"/>
    </row>
    <row r="837" ht="15" customHeight="1">
      <c r="A837" t="inlineStr">
        <is>
          <t>A 57139-2018</t>
        </is>
      </c>
      <c r="B837" s="1" t="n">
        <v>43396</v>
      </c>
      <c r="C837" s="1" t="n">
        <v>45227</v>
      </c>
      <c r="D837" t="inlineStr">
        <is>
          <t>VÄSTRA GÖTALANDS LÄN</t>
        </is>
      </c>
      <c r="E837" t="inlineStr">
        <is>
          <t>HJO</t>
        </is>
      </c>
      <c r="G837" t="n">
        <v>1.1</v>
      </c>
      <c r="H837" t="n">
        <v>0</v>
      </c>
      <c r="I837" t="n">
        <v>0</v>
      </c>
      <c r="J837" t="n">
        <v>0</v>
      </c>
      <c r="K837" t="n">
        <v>0</v>
      </c>
      <c r="L837" t="n">
        <v>0</v>
      </c>
      <c r="M837" t="n">
        <v>0</v>
      </c>
      <c r="N837" t="n">
        <v>0</v>
      </c>
      <c r="O837" t="n">
        <v>0</v>
      </c>
      <c r="P837" t="n">
        <v>0</v>
      </c>
      <c r="Q837" t="n">
        <v>0</v>
      </c>
      <c r="R837" s="2" t="inlineStr"/>
    </row>
    <row r="838" ht="15" customHeight="1">
      <c r="A838" t="inlineStr">
        <is>
          <t>A 54846-2018</t>
        </is>
      </c>
      <c r="B838" s="1" t="n">
        <v>43396</v>
      </c>
      <c r="C838" s="1" t="n">
        <v>45227</v>
      </c>
      <c r="D838" t="inlineStr">
        <is>
          <t>VÄSTRA GÖTALANDS LÄN</t>
        </is>
      </c>
      <c r="E838" t="inlineStr">
        <is>
          <t>BORÅS</t>
        </is>
      </c>
      <c r="G838" t="n">
        <v>3.9</v>
      </c>
      <c r="H838" t="n">
        <v>0</v>
      </c>
      <c r="I838" t="n">
        <v>0</v>
      </c>
      <c r="J838" t="n">
        <v>0</v>
      </c>
      <c r="K838" t="n">
        <v>0</v>
      </c>
      <c r="L838" t="n">
        <v>0</v>
      </c>
      <c r="M838" t="n">
        <v>0</v>
      </c>
      <c r="N838" t="n">
        <v>0</v>
      </c>
      <c r="O838" t="n">
        <v>0</v>
      </c>
      <c r="P838" t="n">
        <v>0</v>
      </c>
      <c r="Q838" t="n">
        <v>0</v>
      </c>
      <c r="R838" s="2" t="inlineStr"/>
    </row>
    <row r="839" ht="15" customHeight="1">
      <c r="A839" t="inlineStr">
        <is>
          <t>A 55045-2018</t>
        </is>
      </c>
      <c r="B839" s="1" t="n">
        <v>43396</v>
      </c>
      <c r="C839" s="1" t="n">
        <v>45227</v>
      </c>
      <c r="D839" t="inlineStr">
        <is>
          <t>VÄSTRA GÖTALANDS LÄN</t>
        </is>
      </c>
      <c r="E839" t="inlineStr">
        <is>
          <t>TROLLHÄTTAN</t>
        </is>
      </c>
      <c r="G839" t="n">
        <v>3.2</v>
      </c>
      <c r="H839" t="n">
        <v>0</v>
      </c>
      <c r="I839" t="n">
        <v>0</v>
      </c>
      <c r="J839" t="n">
        <v>0</v>
      </c>
      <c r="K839" t="n">
        <v>0</v>
      </c>
      <c r="L839" t="n">
        <v>0</v>
      </c>
      <c r="M839" t="n">
        <v>0</v>
      </c>
      <c r="N839" t="n">
        <v>0</v>
      </c>
      <c r="O839" t="n">
        <v>0</v>
      </c>
      <c r="P839" t="n">
        <v>0</v>
      </c>
      <c r="Q839" t="n">
        <v>0</v>
      </c>
      <c r="R839" s="2" t="inlineStr"/>
    </row>
    <row r="840" ht="15" customHeight="1">
      <c r="A840" t="inlineStr">
        <is>
          <t>A 55074-2018</t>
        </is>
      </c>
      <c r="B840" s="1" t="n">
        <v>43396</v>
      </c>
      <c r="C840" s="1" t="n">
        <v>45227</v>
      </c>
      <c r="D840" t="inlineStr">
        <is>
          <t>VÄSTRA GÖTALANDS LÄN</t>
        </is>
      </c>
      <c r="E840" t="inlineStr">
        <is>
          <t>UDDEVALLA</t>
        </is>
      </c>
      <c r="G840" t="n">
        <v>3.2</v>
      </c>
      <c r="H840" t="n">
        <v>0</v>
      </c>
      <c r="I840" t="n">
        <v>0</v>
      </c>
      <c r="J840" t="n">
        <v>0</v>
      </c>
      <c r="K840" t="n">
        <v>0</v>
      </c>
      <c r="L840" t="n">
        <v>0</v>
      </c>
      <c r="M840" t="n">
        <v>0</v>
      </c>
      <c r="N840" t="n">
        <v>0</v>
      </c>
      <c r="O840" t="n">
        <v>0</v>
      </c>
      <c r="P840" t="n">
        <v>0</v>
      </c>
      <c r="Q840" t="n">
        <v>0</v>
      </c>
      <c r="R840" s="2" t="inlineStr"/>
    </row>
    <row r="841" ht="15" customHeight="1">
      <c r="A841" t="inlineStr">
        <is>
          <t>A 54896-2018</t>
        </is>
      </c>
      <c r="B841" s="1" t="n">
        <v>43396</v>
      </c>
      <c r="C841" s="1" t="n">
        <v>45227</v>
      </c>
      <c r="D841" t="inlineStr">
        <is>
          <t>VÄSTRA GÖTALANDS LÄN</t>
        </is>
      </c>
      <c r="E841" t="inlineStr">
        <is>
          <t>MUNKEDAL</t>
        </is>
      </c>
      <c r="G841" t="n">
        <v>2.7</v>
      </c>
      <c r="H841" t="n">
        <v>0</v>
      </c>
      <c r="I841" t="n">
        <v>0</v>
      </c>
      <c r="J841" t="n">
        <v>0</v>
      </c>
      <c r="K841" t="n">
        <v>0</v>
      </c>
      <c r="L841" t="n">
        <v>0</v>
      </c>
      <c r="M841" t="n">
        <v>0</v>
      </c>
      <c r="N841" t="n">
        <v>0</v>
      </c>
      <c r="O841" t="n">
        <v>0</v>
      </c>
      <c r="P841" t="n">
        <v>0</v>
      </c>
      <c r="Q841" t="n">
        <v>0</v>
      </c>
      <c r="R841" s="2" t="inlineStr"/>
    </row>
    <row r="842" ht="15" customHeight="1">
      <c r="A842" t="inlineStr">
        <is>
          <t>A 55071-2018</t>
        </is>
      </c>
      <c r="B842" s="1" t="n">
        <v>43396</v>
      </c>
      <c r="C842" s="1" t="n">
        <v>45227</v>
      </c>
      <c r="D842" t="inlineStr">
        <is>
          <t>VÄSTRA GÖTALANDS LÄN</t>
        </is>
      </c>
      <c r="E842" t="inlineStr">
        <is>
          <t>UDDEVALLA</t>
        </is>
      </c>
      <c r="G842" t="n">
        <v>1.8</v>
      </c>
      <c r="H842" t="n">
        <v>0</v>
      </c>
      <c r="I842" t="n">
        <v>0</v>
      </c>
      <c r="J842" t="n">
        <v>0</v>
      </c>
      <c r="K842" t="n">
        <v>0</v>
      </c>
      <c r="L842" t="n">
        <v>0</v>
      </c>
      <c r="M842" t="n">
        <v>0</v>
      </c>
      <c r="N842" t="n">
        <v>0</v>
      </c>
      <c r="O842" t="n">
        <v>0</v>
      </c>
      <c r="P842" t="n">
        <v>0</v>
      </c>
      <c r="Q842" t="n">
        <v>0</v>
      </c>
      <c r="R842" s="2" t="inlineStr"/>
    </row>
    <row r="843" ht="15" customHeight="1">
      <c r="A843" t="inlineStr">
        <is>
          <t>A 57393-2018</t>
        </is>
      </c>
      <c r="B843" s="1" t="n">
        <v>43396</v>
      </c>
      <c r="C843" s="1" t="n">
        <v>45227</v>
      </c>
      <c r="D843" t="inlineStr">
        <is>
          <t>VÄSTRA GÖTALANDS LÄN</t>
        </is>
      </c>
      <c r="E843" t="inlineStr">
        <is>
          <t>TANUM</t>
        </is>
      </c>
      <c r="G843" t="n">
        <v>0.5</v>
      </c>
      <c r="H843" t="n">
        <v>0</v>
      </c>
      <c r="I843" t="n">
        <v>0</v>
      </c>
      <c r="J843" t="n">
        <v>0</v>
      </c>
      <c r="K843" t="n">
        <v>0</v>
      </c>
      <c r="L843" t="n">
        <v>0</v>
      </c>
      <c r="M843" t="n">
        <v>0</v>
      </c>
      <c r="N843" t="n">
        <v>0</v>
      </c>
      <c r="O843" t="n">
        <v>0</v>
      </c>
      <c r="P843" t="n">
        <v>0</v>
      </c>
      <c r="Q843" t="n">
        <v>0</v>
      </c>
      <c r="R843" s="2" t="inlineStr"/>
    </row>
    <row r="844" ht="15" customHeight="1">
      <c r="A844" t="inlineStr">
        <is>
          <t>A 55443-2018</t>
        </is>
      </c>
      <c r="B844" s="1" t="n">
        <v>43397</v>
      </c>
      <c r="C844" s="1" t="n">
        <v>45227</v>
      </c>
      <c r="D844" t="inlineStr">
        <is>
          <t>VÄSTRA GÖTALANDS LÄN</t>
        </is>
      </c>
      <c r="E844" t="inlineStr">
        <is>
          <t>KUNGÄLV</t>
        </is>
      </c>
      <c r="G844" t="n">
        <v>12.8</v>
      </c>
      <c r="H844" t="n">
        <v>0</v>
      </c>
      <c r="I844" t="n">
        <v>0</v>
      </c>
      <c r="J844" t="n">
        <v>0</v>
      </c>
      <c r="K844" t="n">
        <v>0</v>
      </c>
      <c r="L844" t="n">
        <v>0</v>
      </c>
      <c r="M844" t="n">
        <v>0</v>
      </c>
      <c r="N844" t="n">
        <v>0</v>
      </c>
      <c r="O844" t="n">
        <v>0</v>
      </c>
      <c r="P844" t="n">
        <v>0</v>
      </c>
      <c r="Q844" t="n">
        <v>0</v>
      </c>
      <c r="R844" s="2" t="inlineStr"/>
    </row>
    <row r="845" ht="15" customHeight="1">
      <c r="A845" t="inlineStr">
        <is>
          <t>A 57376-2018</t>
        </is>
      </c>
      <c r="B845" s="1" t="n">
        <v>43397</v>
      </c>
      <c r="C845" s="1" t="n">
        <v>45227</v>
      </c>
      <c r="D845" t="inlineStr">
        <is>
          <t>VÄSTRA GÖTALANDS LÄN</t>
        </is>
      </c>
      <c r="E845" t="inlineStr">
        <is>
          <t>VÄNERSBORG</t>
        </is>
      </c>
      <c r="G845" t="n">
        <v>4.4</v>
      </c>
      <c r="H845" t="n">
        <v>0</v>
      </c>
      <c r="I845" t="n">
        <v>0</v>
      </c>
      <c r="J845" t="n">
        <v>0</v>
      </c>
      <c r="K845" t="n">
        <v>0</v>
      </c>
      <c r="L845" t="n">
        <v>0</v>
      </c>
      <c r="M845" t="n">
        <v>0</v>
      </c>
      <c r="N845" t="n">
        <v>0</v>
      </c>
      <c r="O845" t="n">
        <v>0</v>
      </c>
      <c r="P845" t="n">
        <v>0</v>
      </c>
      <c r="Q845" t="n">
        <v>0</v>
      </c>
      <c r="R845" s="2" t="inlineStr"/>
    </row>
    <row r="846" ht="15" customHeight="1">
      <c r="A846" t="inlineStr">
        <is>
          <t>A 57542-2018</t>
        </is>
      </c>
      <c r="B846" s="1" t="n">
        <v>43397</v>
      </c>
      <c r="C846" s="1" t="n">
        <v>45227</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55450-2018</t>
        </is>
      </c>
      <c r="B847" s="1" t="n">
        <v>43397</v>
      </c>
      <c r="C847" s="1" t="n">
        <v>45227</v>
      </c>
      <c r="D847" t="inlineStr">
        <is>
          <t>VÄSTRA GÖTALANDS LÄN</t>
        </is>
      </c>
      <c r="E847" t="inlineStr">
        <is>
          <t>KUNGÄLV</t>
        </is>
      </c>
      <c r="G847" t="n">
        <v>22.5</v>
      </c>
      <c r="H847" t="n">
        <v>0</v>
      </c>
      <c r="I847" t="n">
        <v>0</v>
      </c>
      <c r="J847" t="n">
        <v>0</v>
      </c>
      <c r="K847" t="n">
        <v>0</v>
      </c>
      <c r="L847" t="n">
        <v>0</v>
      </c>
      <c r="M847" t="n">
        <v>0</v>
      </c>
      <c r="N847" t="n">
        <v>0</v>
      </c>
      <c r="O847" t="n">
        <v>0</v>
      </c>
      <c r="P847" t="n">
        <v>0</v>
      </c>
      <c r="Q847" t="n">
        <v>0</v>
      </c>
      <c r="R847" s="2" t="inlineStr"/>
    </row>
    <row r="848" ht="15" customHeight="1">
      <c r="A848" t="inlineStr">
        <is>
          <t>A 55498-2018</t>
        </is>
      </c>
      <c r="B848" s="1" t="n">
        <v>43397</v>
      </c>
      <c r="C848" s="1" t="n">
        <v>45227</v>
      </c>
      <c r="D848" t="inlineStr">
        <is>
          <t>VÄSTRA GÖTALANDS LÄN</t>
        </is>
      </c>
      <c r="E848" t="inlineStr">
        <is>
          <t>VÅRGÅRDA</t>
        </is>
      </c>
      <c r="G848" t="n">
        <v>2.1</v>
      </c>
      <c r="H848" t="n">
        <v>0</v>
      </c>
      <c r="I848" t="n">
        <v>0</v>
      </c>
      <c r="J848" t="n">
        <v>0</v>
      </c>
      <c r="K848" t="n">
        <v>0</v>
      </c>
      <c r="L848" t="n">
        <v>0</v>
      </c>
      <c r="M848" t="n">
        <v>0</v>
      </c>
      <c r="N848" t="n">
        <v>0</v>
      </c>
      <c r="O848" t="n">
        <v>0</v>
      </c>
      <c r="P848" t="n">
        <v>0</v>
      </c>
      <c r="Q848" t="n">
        <v>0</v>
      </c>
      <c r="R848" s="2" t="inlineStr"/>
    </row>
    <row r="849" ht="15" customHeight="1">
      <c r="A849" t="inlineStr">
        <is>
          <t>A 57543-2018</t>
        </is>
      </c>
      <c r="B849" s="1" t="n">
        <v>43397</v>
      </c>
      <c r="C849" s="1" t="n">
        <v>45227</v>
      </c>
      <c r="D849" t="inlineStr">
        <is>
          <t>VÄSTRA GÖTALANDS LÄN</t>
        </is>
      </c>
      <c r="E849" t="inlineStr">
        <is>
          <t>TROLLHÄTTAN</t>
        </is>
      </c>
      <c r="G849" t="n">
        <v>0.5</v>
      </c>
      <c r="H849" t="n">
        <v>0</v>
      </c>
      <c r="I849" t="n">
        <v>0</v>
      </c>
      <c r="J849" t="n">
        <v>0</v>
      </c>
      <c r="K849" t="n">
        <v>0</v>
      </c>
      <c r="L849" t="n">
        <v>0</v>
      </c>
      <c r="M849" t="n">
        <v>0</v>
      </c>
      <c r="N849" t="n">
        <v>0</v>
      </c>
      <c r="O849" t="n">
        <v>0</v>
      </c>
      <c r="P849" t="n">
        <v>0</v>
      </c>
      <c r="Q849" t="n">
        <v>0</v>
      </c>
      <c r="R849" s="2" t="inlineStr"/>
    </row>
    <row r="850" ht="15" customHeight="1">
      <c r="A850" t="inlineStr">
        <is>
          <t>A 58074-2018</t>
        </is>
      </c>
      <c r="B850" s="1" t="n">
        <v>43397</v>
      </c>
      <c r="C850" s="1" t="n">
        <v>45227</v>
      </c>
      <c r="D850" t="inlineStr">
        <is>
          <t>VÄSTRA GÖTALANDS LÄN</t>
        </is>
      </c>
      <c r="E850" t="inlineStr">
        <is>
          <t>TANUM</t>
        </is>
      </c>
      <c r="G850" t="n">
        <v>4.4</v>
      </c>
      <c r="H850" t="n">
        <v>0</v>
      </c>
      <c r="I850" t="n">
        <v>0</v>
      </c>
      <c r="J850" t="n">
        <v>0</v>
      </c>
      <c r="K850" t="n">
        <v>0</v>
      </c>
      <c r="L850" t="n">
        <v>0</v>
      </c>
      <c r="M850" t="n">
        <v>0</v>
      </c>
      <c r="N850" t="n">
        <v>0</v>
      </c>
      <c r="O850" t="n">
        <v>0</v>
      </c>
      <c r="P850" t="n">
        <v>0</v>
      </c>
      <c r="Q850" t="n">
        <v>0</v>
      </c>
      <c r="R850" s="2" t="inlineStr"/>
    </row>
    <row r="851" ht="15" customHeight="1">
      <c r="A851" t="inlineStr">
        <is>
          <t>A 55389-2018</t>
        </is>
      </c>
      <c r="B851" s="1" t="n">
        <v>43397</v>
      </c>
      <c r="C851" s="1" t="n">
        <v>45227</v>
      </c>
      <c r="D851" t="inlineStr">
        <is>
          <t>VÄSTRA GÖTALANDS LÄN</t>
        </is>
      </c>
      <c r="E851" t="inlineStr">
        <is>
          <t>ORUST</t>
        </is>
      </c>
      <c r="G851" t="n">
        <v>1.6</v>
      </c>
      <c r="H851" t="n">
        <v>0</v>
      </c>
      <c r="I851" t="n">
        <v>0</v>
      </c>
      <c r="J851" t="n">
        <v>0</v>
      </c>
      <c r="K851" t="n">
        <v>0</v>
      </c>
      <c r="L851" t="n">
        <v>0</v>
      </c>
      <c r="M851" t="n">
        <v>0</v>
      </c>
      <c r="N851" t="n">
        <v>0</v>
      </c>
      <c r="O851" t="n">
        <v>0</v>
      </c>
      <c r="P851" t="n">
        <v>0</v>
      </c>
      <c r="Q851" t="n">
        <v>0</v>
      </c>
      <c r="R851" s="2" t="inlineStr"/>
    </row>
    <row r="852" ht="15" customHeight="1">
      <c r="A852" t="inlineStr">
        <is>
          <t>A 57368-2018</t>
        </is>
      </c>
      <c r="B852" s="1" t="n">
        <v>43397</v>
      </c>
      <c r="C852" s="1" t="n">
        <v>45227</v>
      </c>
      <c r="D852" t="inlineStr">
        <is>
          <t>VÄSTRA GÖTALANDS LÄN</t>
        </is>
      </c>
      <c r="E852" t="inlineStr">
        <is>
          <t>VÄNERSBORG</t>
        </is>
      </c>
      <c r="G852" t="n">
        <v>3</v>
      </c>
      <c r="H852" t="n">
        <v>0</v>
      </c>
      <c r="I852" t="n">
        <v>0</v>
      </c>
      <c r="J852" t="n">
        <v>0</v>
      </c>
      <c r="K852" t="n">
        <v>0</v>
      </c>
      <c r="L852" t="n">
        <v>0</v>
      </c>
      <c r="M852" t="n">
        <v>0</v>
      </c>
      <c r="N852" t="n">
        <v>0</v>
      </c>
      <c r="O852" t="n">
        <v>0</v>
      </c>
      <c r="P852" t="n">
        <v>0</v>
      </c>
      <c r="Q852" t="n">
        <v>0</v>
      </c>
      <c r="R852" s="2" t="inlineStr"/>
    </row>
    <row r="853" ht="15" customHeight="1">
      <c r="A853" t="inlineStr">
        <is>
          <t>A 57888-2018</t>
        </is>
      </c>
      <c r="B853" s="1" t="n">
        <v>43398</v>
      </c>
      <c r="C853" s="1" t="n">
        <v>45227</v>
      </c>
      <c r="D853" t="inlineStr">
        <is>
          <t>VÄSTRA GÖTALANDS LÄN</t>
        </is>
      </c>
      <c r="E853" t="inlineStr">
        <is>
          <t>TÖREBODA</t>
        </is>
      </c>
      <c r="G853" t="n">
        <v>4</v>
      </c>
      <c r="H853" t="n">
        <v>0</v>
      </c>
      <c r="I853" t="n">
        <v>0</v>
      </c>
      <c r="J853" t="n">
        <v>0</v>
      </c>
      <c r="K853" t="n">
        <v>0</v>
      </c>
      <c r="L853" t="n">
        <v>0</v>
      </c>
      <c r="M853" t="n">
        <v>0</v>
      </c>
      <c r="N853" t="n">
        <v>0</v>
      </c>
      <c r="O853" t="n">
        <v>0</v>
      </c>
      <c r="P853" t="n">
        <v>0</v>
      </c>
      <c r="Q853" t="n">
        <v>0</v>
      </c>
      <c r="R853" s="2" t="inlineStr"/>
    </row>
    <row r="854" ht="15" customHeight="1">
      <c r="A854" t="inlineStr">
        <is>
          <t>A 55964-2018</t>
        </is>
      </c>
      <c r="B854" s="1" t="n">
        <v>43398</v>
      </c>
      <c r="C854" s="1" t="n">
        <v>45227</v>
      </c>
      <c r="D854" t="inlineStr">
        <is>
          <t>VÄSTRA GÖTALANDS LÄN</t>
        </is>
      </c>
      <c r="E854" t="inlineStr">
        <is>
          <t>ULRICEHAMN</t>
        </is>
      </c>
      <c r="G854" t="n">
        <v>1.9</v>
      </c>
      <c r="H854" t="n">
        <v>0</v>
      </c>
      <c r="I854" t="n">
        <v>0</v>
      </c>
      <c r="J854" t="n">
        <v>0</v>
      </c>
      <c r="K854" t="n">
        <v>0</v>
      </c>
      <c r="L854" t="n">
        <v>0</v>
      </c>
      <c r="M854" t="n">
        <v>0</v>
      </c>
      <c r="N854" t="n">
        <v>0</v>
      </c>
      <c r="O854" t="n">
        <v>0</v>
      </c>
      <c r="P854" t="n">
        <v>0</v>
      </c>
      <c r="Q854" t="n">
        <v>0</v>
      </c>
      <c r="R854" s="2" t="inlineStr"/>
    </row>
    <row r="855" ht="15" customHeight="1">
      <c r="A855" t="inlineStr">
        <is>
          <t>A 56217-2018</t>
        </is>
      </c>
      <c r="B855" s="1" t="n">
        <v>43398</v>
      </c>
      <c r="C855" s="1" t="n">
        <v>45227</v>
      </c>
      <c r="D855" t="inlineStr">
        <is>
          <t>VÄSTRA GÖTALANDS LÄN</t>
        </is>
      </c>
      <c r="E855" t="inlineStr">
        <is>
          <t>SKÖVDE</t>
        </is>
      </c>
      <c r="G855" t="n">
        <v>2.3</v>
      </c>
      <c r="H855" t="n">
        <v>0</v>
      </c>
      <c r="I855" t="n">
        <v>0</v>
      </c>
      <c r="J855" t="n">
        <v>0</v>
      </c>
      <c r="K855" t="n">
        <v>0</v>
      </c>
      <c r="L855" t="n">
        <v>0</v>
      </c>
      <c r="M855" t="n">
        <v>0</v>
      </c>
      <c r="N855" t="n">
        <v>0</v>
      </c>
      <c r="O855" t="n">
        <v>0</v>
      </c>
      <c r="P855" t="n">
        <v>0</v>
      </c>
      <c r="Q855" t="n">
        <v>0</v>
      </c>
      <c r="R855" s="2" t="inlineStr"/>
    </row>
    <row r="856" ht="15" customHeight="1">
      <c r="A856" t="inlineStr">
        <is>
          <t>A 55997-2018</t>
        </is>
      </c>
      <c r="B856" s="1" t="n">
        <v>43398</v>
      </c>
      <c r="C856" s="1" t="n">
        <v>45227</v>
      </c>
      <c r="D856" t="inlineStr">
        <is>
          <t>VÄSTRA GÖTALANDS LÄN</t>
        </is>
      </c>
      <c r="E856" t="inlineStr">
        <is>
          <t>BORÅS</t>
        </is>
      </c>
      <c r="G856" t="n">
        <v>4.6</v>
      </c>
      <c r="H856" t="n">
        <v>0</v>
      </c>
      <c r="I856" t="n">
        <v>0</v>
      </c>
      <c r="J856" t="n">
        <v>0</v>
      </c>
      <c r="K856" t="n">
        <v>0</v>
      </c>
      <c r="L856" t="n">
        <v>0</v>
      </c>
      <c r="M856" t="n">
        <v>0</v>
      </c>
      <c r="N856" t="n">
        <v>0</v>
      </c>
      <c r="O856" t="n">
        <v>0</v>
      </c>
      <c r="P856" t="n">
        <v>0</v>
      </c>
      <c r="Q856" t="n">
        <v>0</v>
      </c>
      <c r="R856" s="2" t="inlineStr"/>
    </row>
    <row r="857" ht="15" customHeight="1">
      <c r="A857" t="inlineStr">
        <is>
          <t>A 56124-2018</t>
        </is>
      </c>
      <c r="B857" s="1" t="n">
        <v>43398</v>
      </c>
      <c r="C857" s="1" t="n">
        <v>45227</v>
      </c>
      <c r="D857" t="inlineStr">
        <is>
          <t>VÄSTRA GÖTALANDS LÄN</t>
        </is>
      </c>
      <c r="E857" t="inlineStr">
        <is>
          <t>SVENLJUNGA</t>
        </is>
      </c>
      <c r="G857" t="n">
        <v>1.1</v>
      </c>
      <c r="H857" t="n">
        <v>0</v>
      </c>
      <c r="I857" t="n">
        <v>0</v>
      </c>
      <c r="J857" t="n">
        <v>0</v>
      </c>
      <c r="K857" t="n">
        <v>0</v>
      </c>
      <c r="L857" t="n">
        <v>0</v>
      </c>
      <c r="M857" t="n">
        <v>0</v>
      </c>
      <c r="N857" t="n">
        <v>0</v>
      </c>
      <c r="O857" t="n">
        <v>0</v>
      </c>
      <c r="P857" t="n">
        <v>0</v>
      </c>
      <c r="Q857" t="n">
        <v>0</v>
      </c>
      <c r="R857" s="2" t="inlineStr"/>
    </row>
    <row r="858" ht="15" customHeight="1">
      <c r="A858" t="inlineStr">
        <is>
          <t>A 56415-2018</t>
        </is>
      </c>
      <c r="B858" s="1" t="n">
        <v>43399</v>
      </c>
      <c r="C858" s="1" t="n">
        <v>45227</v>
      </c>
      <c r="D858" t="inlineStr">
        <is>
          <t>VÄSTRA GÖTALANDS LÄN</t>
        </is>
      </c>
      <c r="E858" t="inlineStr">
        <is>
          <t>KUNGÄLV</t>
        </is>
      </c>
      <c r="G858" t="n">
        <v>8.300000000000001</v>
      </c>
      <c r="H858" t="n">
        <v>0</v>
      </c>
      <c r="I858" t="n">
        <v>0</v>
      </c>
      <c r="J858" t="n">
        <v>0</v>
      </c>
      <c r="K858" t="n">
        <v>0</v>
      </c>
      <c r="L858" t="n">
        <v>0</v>
      </c>
      <c r="M858" t="n">
        <v>0</v>
      </c>
      <c r="N858" t="n">
        <v>0</v>
      </c>
      <c r="O858" t="n">
        <v>0</v>
      </c>
      <c r="P858" t="n">
        <v>0</v>
      </c>
      <c r="Q858" t="n">
        <v>0</v>
      </c>
      <c r="R858" s="2" t="inlineStr"/>
    </row>
    <row r="859" ht="15" customHeight="1">
      <c r="A859" t="inlineStr">
        <is>
          <t>A 56544-2018</t>
        </is>
      </c>
      <c r="B859" s="1" t="n">
        <v>43402</v>
      </c>
      <c r="C859" s="1" t="n">
        <v>45227</v>
      </c>
      <c r="D859" t="inlineStr">
        <is>
          <t>VÄSTRA GÖTALANDS LÄN</t>
        </is>
      </c>
      <c r="E859" t="inlineStr">
        <is>
          <t>HÄRRYDA</t>
        </is>
      </c>
      <c r="G859" t="n">
        <v>2</v>
      </c>
      <c r="H859" t="n">
        <v>0</v>
      </c>
      <c r="I859" t="n">
        <v>0</v>
      </c>
      <c r="J859" t="n">
        <v>0</v>
      </c>
      <c r="K859" t="n">
        <v>0</v>
      </c>
      <c r="L859" t="n">
        <v>0</v>
      </c>
      <c r="M859" t="n">
        <v>0</v>
      </c>
      <c r="N859" t="n">
        <v>0</v>
      </c>
      <c r="O859" t="n">
        <v>0</v>
      </c>
      <c r="P859" t="n">
        <v>0</v>
      </c>
      <c r="Q859" t="n">
        <v>0</v>
      </c>
      <c r="R859" s="2" t="inlineStr"/>
    </row>
    <row r="860" ht="15" customHeight="1">
      <c r="A860" t="inlineStr">
        <is>
          <t>A 58874-2018</t>
        </is>
      </c>
      <c r="B860" s="1" t="n">
        <v>43402</v>
      </c>
      <c r="C860" s="1" t="n">
        <v>45227</v>
      </c>
      <c r="D860" t="inlineStr">
        <is>
          <t>VÄSTRA GÖTALANDS LÄN</t>
        </is>
      </c>
      <c r="E860" t="inlineStr">
        <is>
          <t>SKÖVDE</t>
        </is>
      </c>
      <c r="G860" t="n">
        <v>1.4</v>
      </c>
      <c r="H860" t="n">
        <v>0</v>
      </c>
      <c r="I860" t="n">
        <v>0</v>
      </c>
      <c r="J860" t="n">
        <v>0</v>
      </c>
      <c r="K860" t="n">
        <v>0</v>
      </c>
      <c r="L860" t="n">
        <v>0</v>
      </c>
      <c r="M860" t="n">
        <v>0</v>
      </c>
      <c r="N860" t="n">
        <v>0</v>
      </c>
      <c r="O860" t="n">
        <v>0</v>
      </c>
      <c r="P860" t="n">
        <v>0</v>
      </c>
      <c r="Q860" t="n">
        <v>0</v>
      </c>
      <c r="R860" s="2" t="inlineStr"/>
    </row>
    <row r="861" ht="15" customHeight="1">
      <c r="A861" t="inlineStr">
        <is>
          <t>A 59044-2018</t>
        </is>
      </c>
      <c r="B861" s="1" t="n">
        <v>43402</v>
      </c>
      <c r="C861" s="1" t="n">
        <v>45227</v>
      </c>
      <c r="D861" t="inlineStr">
        <is>
          <t>VÄSTRA GÖTALANDS LÄN</t>
        </is>
      </c>
      <c r="E861" t="inlineStr">
        <is>
          <t>TANUM</t>
        </is>
      </c>
      <c r="G861" t="n">
        <v>5.2</v>
      </c>
      <c r="H861" t="n">
        <v>0</v>
      </c>
      <c r="I861" t="n">
        <v>0</v>
      </c>
      <c r="J861" t="n">
        <v>0</v>
      </c>
      <c r="K861" t="n">
        <v>0</v>
      </c>
      <c r="L861" t="n">
        <v>0</v>
      </c>
      <c r="M861" t="n">
        <v>0</v>
      </c>
      <c r="N861" t="n">
        <v>0</v>
      </c>
      <c r="O861" t="n">
        <v>0</v>
      </c>
      <c r="P861" t="n">
        <v>0</v>
      </c>
      <c r="Q861" t="n">
        <v>0</v>
      </c>
      <c r="R861" s="2" t="inlineStr"/>
    </row>
    <row r="862" ht="15" customHeight="1">
      <c r="A862" t="inlineStr">
        <is>
          <t>A 56549-2018</t>
        </is>
      </c>
      <c r="B862" s="1" t="n">
        <v>43402</v>
      </c>
      <c r="C862" s="1" t="n">
        <v>45227</v>
      </c>
      <c r="D862" t="inlineStr">
        <is>
          <t>VÄSTRA GÖTALANDS LÄN</t>
        </is>
      </c>
      <c r="E862" t="inlineStr">
        <is>
          <t>SVENLJUNGA</t>
        </is>
      </c>
      <c r="G862" t="n">
        <v>1.5</v>
      </c>
      <c r="H862" t="n">
        <v>0</v>
      </c>
      <c r="I862" t="n">
        <v>0</v>
      </c>
      <c r="J862" t="n">
        <v>0</v>
      </c>
      <c r="K862" t="n">
        <v>0</v>
      </c>
      <c r="L862" t="n">
        <v>0</v>
      </c>
      <c r="M862" t="n">
        <v>0</v>
      </c>
      <c r="N862" t="n">
        <v>0</v>
      </c>
      <c r="O862" t="n">
        <v>0</v>
      </c>
      <c r="P862" t="n">
        <v>0</v>
      </c>
      <c r="Q862" t="n">
        <v>0</v>
      </c>
      <c r="R862" s="2" t="inlineStr"/>
    </row>
    <row r="863" ht="15" customHeight="1">
      <c r="A863" t="inlineStr">
        <is>
          <t>A 56815-2018</t>
        </is>
      </c>
      <c r="B863" s="1" t="n">
        <v>43402</v>
      </c>
      <c r="C863" s="1" t="n">
        <v>45227</v>
      </c>
      <c r="D863" t="inlineStr">
        <is>
          <t>VÄSTRA GÖTALANDS LÄN</t>
        </is>
      </c>
      <c r="E863" t="inlineStr">
        <is>
          <t>TRANEMO</t>
        </is>
      </c>
      <c r="G863" t="n">
        <v>1.3</v>
      </c>
      <c r="H863" t="n">
        <v>0</v>
      </c>
      <c r="I863" t="n">
        <v>0</v>
      </c>
      <c r="J863" t="n">
        <v>0</v>
      </c>
      <c r="K863" t="n">
        <v>0</v>
      </c>
      <c r="L863" t="n">
        <v>0</v>
      </c>
      <c r="M863" t="n">
        <v>0</v>
      </c>
      <c r="N863" t="n">
        <v>0</v>
      </c>
      <c r="O863" t="n">
        <v>0</v>
      </c>
      <c r="P863" t="n">
        <v>0</v>
      </c>
      <c r="Q863" t="n">
        <v>0</v>
      </c>
      <c r="R863" s="2" t="inlineStr"/>
    </row>
    <row r="864" ht="15" customHeight="1">
      <c r="A864" t="inlineStr">
        <is>
          <t>A 58876-2018</t>
        </is>
      </c>
      <c r="B864" s="1" t="n">
        <v>43402</v>
      </c>
      <c r="C864" s="1" t="n">
        <v>45227</v>
      </c>
      <c r="D864" t="inlineStr">
        <is>
          <t>VÄSTRA GÖTALANDS LÄN</t>
        </is>
      </c>
      <c r="E864" t="inlineStr">
        <is>
          <t>HJO</t>
        </is>
      </c>
      <c r="G864" t="n">
        <v>1.9</v>
      </c>
      <c r="H864" t="n">
        <v>0</v>
      </c>
      <c r="I864" t="n">
        <v>0</v>
      </c>
      <c r="J864" t="n">
        <v>0</v>
      </c>
      <c r="K864" t="n">
        <v>0</v>
      </c>
      <c r="L864" t="n">
        <v>0</v>
      </c>
      <c r="M864" t="n">
        <v>0</v>
      </c>
      <c r="N864" t="n">
        <v>0</v>
      </c>
      <c r="O864" t="n">
        <v>0</v>
      </c>
      <c r="P864" t="n">
        <v>0</v>
      </c>
      <c r="Q864" t="n">
        <v>0</v>
      </c>
      <c r="R864" s="2" t="inlineStr"/>
    </row>
    <row r="865" ht="15" customHeight="1">
      <c r="A865" t="inlineStr">
        <is>
          <t>A 56831-2018</t>
        </is>
      </c>
      <c r="B865" s="1" t="n">
        <v>43402</v>
      </c>
      <c r="C865" s="1" t="n">
        <v>45227</v>
      </c>
      <c r="D865" t="inlineStr">
        <is>
          <t>VÄSTRA GÖTALANDS LÄN</t>
        </is>
      </c>
      <c r="E865" t="inlineStr">
        <is>
          <t>BORÅS</t>
        </is>
      </c>
      <c r="G865" t="n">
        <v>0.9</v>
      </c>
      <c r="H865" t="n">
        <v>0</v>
      </c>
      <c r="I865" t="n">
        <v>0</v>
      </c>
      <c r="J865" t="n">
        <v>0</v>
      </c>
      <c r="K865" t="n">
        <v>0</v>
      </c>
      <c r="L865" t="n">
        <v>0</v>
      </c>
      <c r="M865" t="n">
        <v>0</v>
      </c>
      <c r="N865" t="n">
        <v>0</v>
      </c>
      <c r="O865" t="n">
        <v>0</v>
      </c>
      <c r="P865" t="n">
        <v>0</v>
      </c>
      <c r="Q865" t="n">
        <v>0</v>
      </c>
      <c r="R865" s="2" t="inlineStr"/>
    </row>
    <row r="866" ht="15" customHeight="1">
      <c r="A866" t="inlineStr">
        <is>
          <t>A 58870-2018</t>
        </is>
      </c>
      <c r="B866" s="1" t="n">
        <v>43402</v>
      </c>
      <c r="C866" s="1" t="n">
        <v>45227</v>
      </c>
      <c r="D866" t="inlineStr">
        <is>
          <t>VÄSTRA GÖTALANDS LÄN</t>
        </is>
      </c>
      <c r="E866" t="inlineStr">
        <is>
          <t>SKÖVDE</t>
        </is>
      </c>
      <c r="G866" t="n">
        <v>0.8</v>
      </c>
      <c r="H866" t="n">
        <v>0</v>
      </c>
      <c r="I866" t="n">
        <v>0</v>
      </c>
      <c r="J866" t="n">
        <v>0</v>
      </c>
      <c r="K866" t="n">
        <v>0</v>
      </c>
      <c r="L866" t="n">
        <v>0</v>
      </c>
      <c r="M866" t="n">
        <v>0</v>
      </c>
      <c r="N866" t="n">
        <v>0</v>
      </c>
      <c r="O866" t="n">
        <v>0</v>
      </c>
      <c r="P866" t="n">
        <v>0</v>
      </c>
      <c r="Q866" t="n">
        <v>0</v>
      </c>
      <c r="R866" s="2" t="inlineStr"/>
    </row>
    <row r="867" ht="15" customHeight="1">
      <c r="A867" t="inlineStr">
        <is>
          <t>A 58880-2018</t>
        </is>
      </c>
      <c r="B867" s="1" t="n">
        <v>43402</v>
      </c>
      <c r="C867" s="1" t="n">
        <v>45227</v>
      </c>
      <c r="D867" t="inlineStr">
        <is>
          <t>VÄSTRA GÖTALANDS LÄN</t>
        </is>
      </c>
      <c r="E867" t="inlineStr">
        <is>
          <t>HERRLJUNGA</t>
        </is>
      </c>
      <c r="G867" t="n">
        <v>11.8</v>
      </c>
      <c r="H867" t="n">
        <v>0</v>
      </c>
      <c r="I867" t="n">
        <v>0</v>
      </c>
      <c r="J867" t="n">
        <v>0</v>
      </c>
      <c r="K867" t="n">
        <v>0</v>
      </c>
      <c r="L867" t="n">
        <v>0</v>
      </c>
      <c r="M867" t="n">
        <v>0</v>
      </c>
      <c r="N867" t="n">
        <v>0</v>
      </c>
      <c r="O867" t="n">
        <v>0</v>
      </c>
      <c r="P867" t="n">
        <v>0</v>
      </c>
      <c r="Q867" t="n">
        <v>0</v>
      </c>
      <c r="R867" s="2" t="inlineStr"/>
    </row>
    <row r="868" ht="15" customHeight="1">
      <c r="A868" t="inlineStr">
        <is>
          <t>A 59051-2018</t>
        </is>
      </c>
      <c r="B868" s="1" t="n">
        <v>43402</v>
      </c>
      <c r="C868" s="1" t="n">
        <v>45227</v>
      </c>
      <c r="D868" t="inlineStr">
        <is>
          <t>VÄSTRA GÖTALANDS LÄN</t>
        </is>
      </c>
      <c r="E868" t="inlineStr">
        <is>
          <t>TANUM</t>
        </is>
      </c>
      <c r="G868" t="n">
        <v>0.9</v>
      </c>
      <c r="H868" t="n">
        <v>0</v>
      </c>
      <c r="I868" t="n">
        <v>0</v>
      </c>
      <c r="J868" t="n">
        <v>0</v>
      </c>
      <c r="K868" t="n">
        <v>0</v>
      </c>
      <c r="L868" t="n">
        <v>0</v>
      </c>
      <c r="M868" t="n">
        <v>0</v>
      </c>
      <c r="N868" t="n">
        <v>0</v>
      </c>
      <c r="O868" t="n">
        <v>0</v>
      </c>
      <c r="P868" t="n">
        <v>0</v>
      </c>
      <c r="Q868" t="n">
        <v>0</v>
      </c>
      <c r="R868" s="2" t="inlineStr"/>
    </row>
    <row r="869" ht="15" customHeight="1">
      <c r="A869" t="inlineStr">
        <is>
          <t>A 57111-2018</t>
        </is>
      </c>
      <c r="B869" s="1" t="n">
        <v>43403</v>
      </c>
      <c r="C869" s="1" t="n">
        <v>45227</v>
      </c>
      <c r="D869" t="inlineStr">
        <is>
          <t>VÄSTRA GÖTALANDS LÄN</t>
        </is>
      </c>
      <c r="E869" t="inlineStr">
        <is>
          <t>LIDKÖPING</t>
        </is>
      </c>
      <c r="G869" t="n">
        <v>0.3</v>
      </c>
      <c r="H869" t="n">
        <v>0</v>
      </c>
      <c r="I869" t="n">
        <v>0</v>
      </c>
      <c r="J869" t="n">
        <v>0</v>
      </c>
      <c r="K869" t="n">
        <v>0</v>
      </c>
      <c r="L869" t="n">
        <v>0</v>
      </c>
      <c r="M869" t="n">
        <v>0</v>
      </c>
      <c r="N869" t="n">
        <v>0</v>
      </c>
      <c r="O869" t="n">
        <v>0</v>
      </c>
      <c r="P869" t="n">
        <v>0</v>
      </c>
      <c r="Q869" t="n">
        <v>0</v>
      </c>
      <c r="R869" s="2" t="inlineStr"/>
    </row>
    <row r="870" ht="15" customHeight="1">
      <c r="A870" t="inlineStr">
        <is>
          <t>A 59069-2018</t>
        </is>
      </c>
      <c r="B870" s="1" t="n">
        <v>43403</v>
      </c>
      <c r="C870" s="1" t="n">
        <v>45227</v>
      </c>
      <c r="D870" t="inlineStr">
        <is>
          <t>VÄSTRA GÖTALANDS LÄN</t>
        </is>
      </c>
      <c r="E870" t="inlineStr">
        <is>
          <t>KARLSBORG</t>
        </is>
      </c>
      <c r="G870" t="n">
        <v>5</v>
      </c>
      <c r="H870" t="n">
        <v>0</v>
      </c>
      <c r="I870" t="n">
        <v>0</v>
      </c>
      <c r="J870" t="n">
        <v>0</v>
      </c>
      <c r="K870" t="n">
        <v>0</v>
      </c>
      <c r="L870" t="n">
        <v>0</v>
      </c>
      <c r="M870" t="n">
        <v>0</v>
      </c>
      <c r="N870" t="n">
        <v>0</v>
      </c>
      <c r="O870" t="n">
        <v>0</v>
      </c>
      <c r="P870" t="n">
        <v>0</v>
      </c>
      <c r="Q870" t="n">
        <v>0</v>
      </c>
      <c r="R870" s="2" t="inlineStr"/>
    </row>
    <row r="871" ht="15" customHeight="1">
      <c r="A871" t="inlineStr">
        <is>
          <t>A 59168-2018</t>
        </is>
      </c>
      <c r="B871" s="1" t="n">
        <v>43403</v>
      </c>
      <c r="C871" s="1" t="n">
        <v>45227</v>
      </c>
      <c r="D871" t="inlineStr">
        <is>
          <t>VÄSTRA GÖTALANDS LÄN</t>
        </is>
      </c>
      <c r="E871" t="inlineStr">
        <is>
          <t>ÅMÅL</t>
        </is>
      </c>
      <c r="G871" t="n">
        <v>11.1</v>
      </c>
      <c r="H871" t="n">
        <v>0</v>
      </c>
      <c r="I871" t="n">
        <v>0</v>
      </c>
      <c r="J871" t="n">
        <v>0</v>
      </c>
      <c r="K871" t="n">
        <v>0</v>
      </c>
      <c r="L871" t="n">
        <v>0</v>
      </c>
      <c r="M871" t="n">
        <v>0</v>
      </c>
      <c r="N871" t="n">
        <v>0</v>
      </c>
      <c r="O871" t="n">
        <v>0</v>
      </c>
      <c r="P871" t="n">
        <v>0</v>
      </c>
      <c r="Q871" t="n">
        <v>0</v>
      </c>
      <c r="R871" s="2" t="inlineStr"/>
    </row>
    <row r="872" ht="15" customHeight="1">
      <c r="A872" t="inlineStr">
        <is>
          <t>A 57174-2018</t>
        </is>
      </c>
      <c r="B872" s="1" t="n">
        <v>43403</v>
      </c>
      <c r="C872" s="1" t="n">
        <v>45227</v>
      </c>
      <c r="D872" t="inlineStr">
        <is>
          <t>VÄSTRA GÖTALANDS LÄN</t>
        </is>
      </c>
      <c r="E872" t="inlineStr">
        <is>
          <t>FÄRGELANDA</t>
        </is>
      </c>
      <c r="G872" t="n">
        <v>1.3</v>
      </c>
      <c r="H872" t="n">
        <v>0</v>
      </c>
      <c r="I872" t="n">
        <v>0</v>
      </c>
      <c r="J872" t="n">
        <v>0</v>
      </c>
      <c r="K872" t="n">
        <v>0</v>
      </c>
      <c r="L872" t="n">
        <v>0</v>
      </c>
      <c r="M872" t="n">
        <v>0</v>
      </c>
      <c r="N872" t="n">
        <v>0</v>
      </c>
      <c r="O872" t="n">
        <v>0</v>
      </c>
      <c r="P872" t="n">
        <v>0</v>
      </c>
      <c r="Q872" t="n">
        <v>0</v>
      </c>
      <c r="R872" s="2" t="inlineStr"/>
    </row>
    <row r="873" ht="15" customHeight="1">
      <c r="A873" t="inlineStr">
        <is>
          <t>A 57010-2018</t>
        </is>
      </c>
      <c r="B873" s="1" t="n">
        <v>43403</v>
      </c>
      <c r="C873" s="1" t="n">
        <v>45227</v>
      </c>
      <c r="D873" t="inlineStr">
        <is>
          <t>VÄSTRA GÖTALANDS LÄN</t>
        </is>
      </c>
      <c r="E873" t="inlineStr">
        <is>
          <t>TRANEMO</t>
        </is>
      </c>
      <c r="G873" t="n">
        <v>1.1</v>
      </c>
      <c r="H873" t="n">
        <v>0</v>
      </c>
      <c r="I873" t="n">
        <v>0</v>
      </c>
      <c r="J873" t="n">
        <v>0</v>
      </c>
      <c r="K873" t="n">
        <v>0</v>
      </c>
      <c r="L873" t="n">
        <v>0</v>
      </c>
      <c r="M873" t="n">
        <v>0</v>
      </c>
      <c r="N873" t="n">
        <v>0</v>
      </c>
      <c r="O873" t="n">
        <v>0</v>
      </c>
      <c r="P873" t="n">
        <v>0</v>
      </c>
      <c r="Q873" t="n">
        <v>0</v>
      </c>
      <c r="R873" s="2" t="inlineStr"/>
    </row>
    <row r="874" ht="15" customHeight="1">
      <c r="A874" t="inlineStr">
        <is>
          <t>A 57185-2018</t>
        </is>
      </c>
      <c r="B874" s="1" t="n">
        <v>43403</v>
      </c>
      <c r="C874" s="1" t="n">
        <v>45227</v>
      </c>
      <c r="D874" t="inlineStr">
        <is>
          <t>VÄSTRA GÖTALANDS LÄN</t>
        </is>
      </c>
      <c r="E874" t="inlineStr">
        <is>
          <t>FÄRGELANDA</t>
        </is>
      </c>
      <c r="G874" t="n">
        <v>1.7</v>
      </c>
      <c r="H874" t="n">
        <v>0</v>
      </c>
      <c r="I874" t="n">
        <v>0</v>
      </c>
      <c r="J874" t="n">
        <v>0</v>
      </c>
      <c r="K874" t="n">
        <v>0</v>
      </c>
      <c r="L874" t="n">
        <v>0</v>
      </c>
      <c r="M874" t="n">
        <v>0</v>
      </c>
      <c r="N874" t="n">
        <v>0</v>
      </c>
      <c r="O874" t="n">
        <v>0</v>
      </c>
      <c r="P874" t="n">
        <v>0</v>
      </c>
      <c r="Q874" t="n">
        <v>0</v>
      </c>
      <c r="R874" s="2" t="inlineStr"/>
    </row>
    <row r="875" ht="15" customHeight="1">
      <c r="A875" t="inlineStr">
        <is>
          <t>A 59032-2018</t>
        </is>
      </c>
      <c r="B875" s="1" t="n">
        <v>43403</v>
      </c>
      <c r="C875" s="1" t="n">
        <v>45227</v>
      </c>
      <c r="D875" t="inlineStr">
        <is>
          <t>VÄSTRA GÖTALANDS LÄN</t>
        </is>
      </c>
      <c r="E875" t="inlineStr">
        <is>
          <t>TRANEMO</t>
        </is>
      </c>
      <c r="G875" t="n">
        <v>4.6</v>
      </c>
      <c r="H875" t="n">
        <v>0</v>
      </c>
      <c r="I875" t="n">
        <v>0</v>
      </c>
      <c r="J875" t="n">
        <v>0</v>
      </c>
      <c r="K875" t="n">
        <v>0</v>
      </c>
      <c r="L875" t="n">
        <v>0</v>
      </c>
      <c r="M875" t="n">
        <v>0</v>
      </c>
      <c r="N875" t="n">
        <v>0</v>
      </c>
      <c r="O875" t="n">
        <v>0</v>
      </c>
      <c r="P875" t="n">
        <v>0</v>
      </c>
      <c r="Q875" t="n">
        <v>0</v>
      </c>
      <c r="R875" s="2" t="inlineStr"/>
    </row>
    <row r="876" ht="15" customHeight="1">
      <c r="A876" t="inlineStr">
        <is>
          <t>A 59186-2018</t>
        </is>
      </c>
      <c r="B876" s="1" t="n">
        <v>43403</v>
      </c>
      <c r="C876" s="1" t="n">
        <v>45227</v>
      </c>
      <c r="D876" t="inlineStr">
        <is>
          <t>VÄSTRA GÖTALANDS LÄN</t>
        </is>
      </c>
      <c r="E876" t="inlineStr">
        <is>
          <t>BORÅS</t>
        </is>
      </c>
      <c r="F876" t="inlineStr">
        <is>
          <t>Kommuner</t>
        </is>
      </c>
      <c r="G876" t="n">
        <v>5.7</v>
      </c>
      <c r="H876" t="n">
        <v>0</v>
      </c>
      <c r="I876" t="n">
        <v>0</v>
      </c>
      <c r="J876" t="n">
        <v>0</v>
      </c>
      <c r="K876" t="n">
        <v>0</v>
      </c>
      <c r="L876" t="n">
        <v>0</v>
      </c>
      <c r="M876" t="n">
        <v>0</v>
      </c>
      <c r="N876" t="n">
        <v>0</v>
      </c>
      <c r="O876" t="n">
        <v>0</v>
      </c>
      <c r="P876" t="n">
        <v>0</v>
      </c>
      <c r="Q876" t="n">
        <v>0</v>
      </c>
      <c r="R876" s="2" t="inlineStr"/>
    </row>
    <row r="877" ht="15" customHeight="1">
      <c r="A877" t="inlineStr">
        <is>
          <t>A 59252-2018</t>
        </is>
      </c>
      <c r="B877" s="1" t="n">
        <v>43403</v>
      </c>
      <c r="C877" s="1" t="n">
        <v>45227</v>
      </c>
      <c r="D877" t="inlineStr">
        <is>
          <t>VÄSTRA GÖTALANDS LÄN</t>
        </is>
      </c>
      <c r="E877" t="inlineStr">
        <is>
          <t>HJO</t>
        </is>
      </c>
      <c r="G877" t="n">
        <v>1</v>
      </c>
      <c r="H877" t="n">
        <v>0</v>
      </c>
      <c r="I877" t="n">
        <v>0</v>
      </c>
      <c r="J877" t="n">
        <v>0</v>
      </c>
      <c r="K877" t="n">
        <v>0</v>
      </c>
      <c r="L877" t="n">
        <v>0</v>
      </c>
      <c r="M877" t="n">
        <v>0</v>
      </c>
      <c r="N877" t="n">
        <v>0</v>
      </c>
      <c r="O877" t="n">
        <v>0</v>
      </c>
      <c r="P877" t="n">
        <v>0</v>
      </c>
      <c r="Q877" t="n">
        <v>0</v>
      </c>
      <c r="R877" s="2" t="inlineStr"/>
    </row>
    <row r="878" ht="15" customHeight="1">
      <c r="A878" t="inlineStr">
        <is>
          <t>A 59073-2018</t>
        </is>
      </c>
      <c r="B878" s="1" t="n">
        <v>43403</v>
      </c>
      <c r="C878" s="1" t="n">
        <v>45227</v>
      </c>
      <c r="D878" t="inlineStr">
        <is>
          <t>VÄSTRA GÖTALANDS LÄN</t>
        </is>
      </c>
      <c r="E878" t="inlineStr">
        <is>
          <t>KARLSBORG</t>
        </is>
      </c>
      <c r="G878" t="n">
        <v>0.6</v>
      </c>
      <c r="H878" t="n">
        <v>0</v>
      </c>
      <c r="I878" t="n">
        <v>0</v>
      </c>
      <c r="J878" t="n">
        <v>0</v>
      </c>
      <c r="K878" t="n">
        <v>0</v>
      </c>
      <c r="L878" t="n">
        <v>0</v>
      </c>
      <c r="M878" t="n">
        <v>0</v>
      </c>
      <c r="N878" t="n">
        <v>0</v>
      </c>
      <c r="O878" t="n">
        <v>0</v>
      </c>
      <c r="P878" t="n">
        <v>0</v>
      </c>
      <c r="Q878" t="n">
        <v>0</v>
      </c>
      <c r="R878" s="2" t="inlineStr"/>
    </row>
    <row r="879" ht="15" customHeight="1">
      <c r="A879" t="inlineStr">
        <is>
          <t>A 57370-2018</t>
        </is>
      </c>
      <c r="B879" s="1" t="n">
        <v>43404</v>
      </c>
      <c r="C879" s="1" t="n">
        <v>45227</v>
      </c>
      <c r="D879" t="inlineStr">
        <is>
          <t>VÄSTRA GÖTALANDS LÄN</t>
        </is>
      </c>
      <c r="E879" t="inlineStr">
        <is>
          <t>HJO</t>
        </is>
      </c>
      <c r="G879" t="n">
        <v>1.5</v>
      </c>
      <c r="H879" t="n">
        <v>0</v>
      </c>
      <c r="I879" t="n">
        <v>0</v>
      </c>
      <c r="J879" t="n">
        <v>0</v>
      </c>
      <c r="K879" t="n">
        <v>0</v>
      </c>
      <c r="L879" t="n">
        <v>0</v>
      </c>
      <c r="M879" t="n">
        <v>0</v>
      </c>
      <c r="N879" t="n">
        <v>0</v>
      </c>
      <c r="O879" t="n">
        <v>0</v>
      </c>
      <c r="P879" t="n">
        <v>0</v>
      </c>
      <c r="Q879" t="n">
        <v>0</v>
      </c>
      <c r="R879" s="2" t="inlineStr"/>
    </row>
    <row r="880" ht="15" customHeight="1">
      <c r="A880" t="inlineStr">
        <is>
          <t>A 57587-2018</t>
        </is>
      </c>
      <c r="B880" s="1" t="n">
        <v>43404</v>
      </c>
      <c r="C880" s="1" t="n">
        <v>45227</v>
      </c>
      <c r="D880" t="inlineStr">
        <is>
          <t>VÄSTRA GÖTALANDS LÄN</t>
        </is>
      </c>
      <c r="E880" t="inlineStr">
        <is>
          <t>TRANEMO</t>
        </is>
      </c>
      <c r="G880" t="n">
        <v>7</v>
      </c>
      <c r="H880" t="n">
        <v>0</v>
      </c>
      <c r="I880" t="n">
        <v>0</v>
      </c>
      <c r="J880" t="n">
        <v>0</v>
      </c>
      <c r="K880" t="n">
        <v>0</v>
      </c>
      <c r="L880" t="n">
        <v>0</v>
      </c>
      <c r="M880" t="n">
        <v>0</v>
      </c>
      <c r="N880" t="n">
        <v>0</v>
      </c>
      <c r="O880" t="n">
        <v>0</v>
      </c>
      <c r="P880" t="n">
        <v>0</v>
      </c>
      <c r="Q880" t="n">
        <v>0</v>
      </c>
      <c r="R880" s="2" t="inlineStr"/>
    </row>
    <row r="881" ht="15" customHeight="1">
      <c r="A881" t="inlineStr">
        <is>
          <t>A 59379-2018</t>
        </is>
      </c>
      <c r="B881" s="1" t="n">
        <v>43404</v>
      </c>
      <c r="C881" s="1" t="n">
        <v>45227</v>
      </c>
      <c r="D881" t="inlineStr">
        <is>
          <t>VÄSTRA GÖTALANDS LÄN</t>
        </is>
      </c>
      <c r="E881" t="inlineStr">
        <is>
          <t>TANUM</t>
        </is>
      </c>
      <c r="G881" t="n">
        <v>14.7</v>
      </c>
      <c r="H881" t="n">
        <v>0</v>
      </c>
      <c r="I881" t="n">
        <v>0</v>
      </c>
      <c r="J881" t="n">
        <v>0</v>
      </c>
      <c r="K881" t="n">
        <v>0</v>
      </c>
      <c r="L881" t="n">
        <v>0</v>
      </c>
      <c r="M881" t="n">
        <v>0</v>
      </c>
      <c r="N881" t="n">
        <v>0</v>
      </c>
      <c r="O881" t="n">
        <v>0</v>
      </c>
      <c r="P881" t="n">
        <v>0</v>
      </c>
      <c r="Q881" t="n">
        <v>0</v>
      </c>
      <c r="R881" s="2" t="inlineStr"/>
    </row>
    <row r="882" ht="15" customHeight="1">
      <c r="A882" t="inlineStr">
        <is>
          <t>A 57490-2018</t>
        </is>
      </c>
      <c r="B882" s="1" t="n">
        <v>43404</v>
      </c>
      <c r="C882" s="1" t="n">
        <v>45227</v>
      </c>
      <c r="D882" t="inlineStr">
        <is>
          <t>VÄSTRA GÖTALANDS LÄN</t>
        </is>
      </c>
      <c r="E882" t="inlineStr">
        <is>
          <t>FÄRGELANDA</t>
        </is>
      </c>
      <c r="G882" t="n">
        <v>0.9</v>
      </c>
      <c r="H882" t="n">
        <v>0</v>
      </c>
      <c r="I882" t="n">
        <v>0</v>
      </c>
      <c r="J882" t="n">
        <v>0</v>
      </c>
      <c r="K882" t="n">
        <v>0</v>
      </c>
      <c r="L882" t="n">
        <v>0</v>
      </c>
      <c r="M882" t="n">
        <v>0</v>
      </c>
      <c r="N882" t="n">
        <v>0</v>
      </c>
      <c r="O882" t="n">
        <v>0</v>
      </c>
      <c r="P882" t="n">
        <v>0</v>
      </c>
      <c r="Q882" t="n">
        <v>0</v>
      </c>
      <c r="R882" s="2" t="inlineStr"/>
    </row>
    <row r="883" ht="15" customHeight="1">
      <c r="A883" t="inlineStr">
        <is>
          <t>A 57836-2018</t>
        </is>
      </c>
      <c r="B883" s="1" t="n">
        <v>43405</v>
      </c>
      <c r="C883" s="1" t="n">
        <v>45227</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60447-2018</t>
        </is>
      </c>
      <c r="B884" s="1" t="n">
        <v>43405</v>
      </c>
      <c r="C884" s="1" t="n">
        <v>45227</v>
      </c>
      <c r="D884" t="inlineStr">
        <is>
          <t>VÄSTRA GÖTALANDS LÄN</t>
        </is>
      </c>
      <c r="E884" t="inlineStr">
        <is>
          <t>VARA</t>
        </is>
      </c>
      <c r="G884" t="n">
        <v>4.3</v>
      </c>
      <c r="H884" t="n">
        <v>0</v>
      </c>
      <c r="I884" t="n">
        <v>0</v>
      </c>
      <c r="J884" t="n">
        <v>0</v>
      </c>
      <c r="K884" t="n">
        <v>0</v>
      </c>
      <c r="L884" t="n">
        <v>0</v>
      </c>
      <c r="M884" t="n">
        <v>0</v>
      </c>
      <c r="N884" t="n">
        <v>0</v>
      </c>
      <c r="O884" t="n">
        <v>0</v>
      </c>
      <c r="P884" t="n">
        <v>0</v>
      </c>
      <c r="Q884" t="n">
        <v>0</v>
      </c>
      <c r="R884" s="2" t="inlineStr"/>
    </row>
    <row r="885" ht="15" customHeight="1">
      <c r="A885" t="inlineStr">
        <is>
          <t>A 60501-2018</t>
        </is>
      </c>
      <c r="B885" s="1" t="n">
        <v>43405</v>
      </c>
      <c r="C885" s="1" t="n">
        <v>45227</v>
      </c>
      <c r="D885" t="inlineStr">
        <is>
          <t>VÄSTRA GÖTALANDS LÄN</t>
        </is>
      </c>
      <c r="E885" t="inlineStr">
        <is>
          <t>VARA</t>
        </is>
      </c>
      <c r="G885" t="n">
        <v>3.5</v>
      </c>
      <c r="H885" t="n">
        <v>0</v>
      </c>
      <c r="I885" t="n">
        <v>0</v>
      </c>
      <c r="J885" t="n">
        <v>0</v>
      </c>
      <c r="K885" t="n">
        <v>0</v>
      </c>
      <c r="L885" t="n">
        <v>0</v>
      </c>
      <c r="M885" t="n">
        <v>0</v>
      </c>
      <c r="N885" t="n">
        <v>0</v>
      </c>
      <c r="O885" t="n">
        <v>0</v>
      </c>
      <c r="P885" t="n">
        <v>0</v>
      </c>
      <c r="Q885" t="n">
        <v>0</v>
      </c>
      <c r="R885" s="2" t="inlineStr"/>
    </row>
    <row r="886" ht="15" customHeight="1">
      <c r="A886" t="inlineStr">
        <is>
          <t>A 57952-2018</t>
        </is>
      </c>
      <c r="B886" s="1" t="n">
        <v>43405</v>
      </c>
      <c r="C886" s="1" t="n">
        <v>45227</v>
      </c>
      <c r="D886" t="inlineStr">
        <is>
          <t>VÄSTRA GÖTALANDS LÄN</t>
        </is>
      </c>
      <c r="E886" t="inlineStr">
        <is>
          <t>TRANEMO</t>
        </is>
      </c>
      <c r="G886" t="n">
        <v>0.9</v>
      </c>
      <c r="H886" t="n">
        <v>0</v>
      </c>
      <c r="I886" t="n">
        <v>0</v>
      </c>
      <c r="J886" t="n">
        <v>0</v>
      </c>
      <c r="K886" t="n">
        <v>0</v>
      </c>
      <c r="L886" t="n">
        <v>0</v>
      </c>
      <c r="M886" t="n">
        <v>0</v>
      </c>
      <c r="N886" t="n">
        <v>0</v>
      </c>
      <c r="O886" t="n">
        <v>0</v>
      </c>
      <c r="P886" t="n">
        <v>0</v>
      </c>
      <c r="Q886" t="n">
        <v>0</v>
      </c>
      <c r="R886" s="2" t="inlineStr"/>
    </row>
    <row r="887" ht="15" customHeight="1">
      <c r="A887" t="inlineStr">
        <is>
          <t>A 59616-2018</t>
        </is>
      </c>
      <c r="B887" s="1" t="n">
        <v>43405</v>
      </c>
      <c r="C887" s="1" t="n">
        <v>45227</v>
      </c>
      <c r="D887" t="inlineStr">
        <is>
          <t>VÄSTRA GÖTALANDS LÄN</t>
        </is>
      </c>
      <c r="E887" t="inlineStr">
        <is>
          <t>FALKÖPING</t>
        </is>
      </c>
      <c r="G887" t="n">
        <v>4.3</v>
      </c>
      <c r="H887" t="n">
        <v>0</v>
      </c>
      <c r="I887" t="n">
        <v>0</v>
      </c>
      <c r="J887" t="n">
        <v>0</v>
      </c>
      <c r="K887" t="n">
        <v>0</v>
      </c>
      <c r="L887" t="n">
        <v>0</v>
      </c>
      <c r="M887" t="n">
        <v>0</v>
      </c>
      <c r="N887" t="n">
        <v>0</v>
      </c>
      <c r="O887" t="n">
        <v>0</v>
      </c>
      <c r="P887" t="n">
        <v>0</v>
      </c>
      <c r="Q887" t="n">
        <v>0</v>
      </c>
      <c r="R887" s="2" t="inlineStr"/>
    </row>
    <row r="888" ht="15" customHeight="1">
      <c r="A888" t="inlineStr">
        <is>
          <t>A 60453-2018</t>
        </is>
      </c>
      <c r="B888" s="1" t="n">
        <v>43405</v>
      </c>
      <c r="C888" s="1" t="n">
        <v>45227</v>
      </c>
      <c r="D888" t="inlineStr">
        <is>
          <t>VÄSTRA GÖTALANDS LÄN</t>
        </is>
      </c>
      <c r="E888" t="inlineStr">
        <is>
          <t>VARA</t>
        </is>
      </c>
      <c r="G888" t="n">
        <v>4.1</v>
      </c>
      <c r="H888" t="n">
        <v>0</v>
      </c>
      <c r="I888" t="n">
        <v>0</v>
      </c>
      <c r="J888" t="n">
        <v>0</v>
      </c>
      <c r="K888" t="n">
        <v>0</v>
      </c>
      <c r="L888" t="n">
        <v>0</v>
      </c>
      <c r="M888" t="n">
        <v>0</v>
      </c>
      <c r="N888" t="n">
        <v>0</v>
      </c>
      <c r="O888" t="n">
        <v>0</v>
      </c>
      <c r="P888" t="n">
        <v>0</v>
      </c>
      <c r="Q888" t="n">
        <v>0</v>
      </c>
      <c r="R888" s="2" t="inlineStr"/>
    </row>
    <row r="889" ht="15" customHeight="1">
      <c r="A889" t="inlineStr">
        <is>
          <t>A 57834-2018</t>
        </is>
      </c>
      <c r="B889" s="1" t="n">
        <v>43405</v>
      </c>
      <c r="C889" s="1" t="n">
        <v>45227</v>
      </c>
      <c r="D889" t="inlineStr">
        <is>
          <t>VÄSTRA GÖTALANDS LÄN</t>
        </is>
      </c>
      <c r="E889" t="inlineStr">
        <is>
          <t>HÄRRYDA</t>
        </is>
      </c>
      <c r="G889" t="n">
        <v>2</v>
      </c>
      <c r="H889" t="n">
        <v>0</v>
      </c>
      <c r="I889" t="n">
        <v>0</v>
      </c>
      <c r="J889" t="n">
        <v>0</v>
      </c>
      <c r="K889" t="n">
        <v>0</v>
      </c>
      <c r="L889" t="n">
        <v>0</v>
      </c>
      <c r="M889" t="n">
        <v>0</v>
      </c>
      <c r="N889" t="n">
        <v>0</v>
      </c>
      <c r="O889" t="n">
        <v>0</v>
      </c>
      <c r="P889" t="n">
        <v>0</v>
      </c>
      <c r="Q889" t="n">
        <v>0</v>
      </c>
      <c r="R889" s="2" t="inlineStr"/>
    </row>
    <row r="890" ht="15" customHeight="1">
      <c r="A890" t="inlineStr">
        <is>
          <t>A 58052-2018</t>
        </is>
      </c>
      <c r="B890" s="1" t="n">
        <v>43406</v>
      </c>
      <c r="C890" s="1" t="n">
        <v>45227</v>
      </c>
      <c r="D890" t="inlineStr">
        <is>
          <t>VÄSTRA GÖTALANDS LÄN</t>
        </is>
      </c>
      <c r="E890" t="inlineStr">
        <is>
          <t>MUNKEDAL</t>
        </is>
      </c>
      <c r="G890" t="n">
        <v>1.9</v>
      </c>
      <c r="H890" t="n">
        <v>0</v>
      </c>
      <c r="I890" t="n">
        <v>0</v>
      </c>
      <c r="J890" t="n">
        <v>0</v>
      </c>
      <c r="K890" t="n">
        <v>0</v>
      </c>
      <c r="L890" t="n">
        <v>0</v>
      </c>
      <c r="M890" t="n">
        <v>0</v>
      </c>
      <c r="N890" t="n">
        <v>0</v>
      </c>
      <c r="O890" t="n">
        <v>0</v>
      </c>
      <c r="P890" t="n">
        <v>0</v>
      </c>
      <c r="Q890" t="n">
        <v>0</v>
      </c>
      <c r="R890" s="2" t="inlineStr"/>
    </row>
    <row r="891" ht="15" customHeight="1">
      <c r="A891" t="inlineStr">
        <is>
          <t>A 58178-2018</t>
        </is>
      </c>
      <c r="B891" s="1" t="n">
        <v>43407</v>
      </c>
      <c r="C891" s="1" t="n">
        <v>45227</v>
      </c>
      <c r="D891" t="inlineStr">
        <is>
          <t>VÄSTRA GÖTALANDS LÄN</t>
        </is>
      </c>
      <c r="E891" t="inlineStr">
        <is>
          <t>TANUM</t>
        </is>
      </c>
      <c r="G891" t="n">
        <v>0.4</v>
      </c>
      <c r="H891" t="n">
        <v>0</v>
      </c>
      <c r="I891" t="n">
        <v>0</v>
      </c>
      <c r="J891" t="n">
        <v>0</v>
      </c>
      <c r="K891" t="n">
        <v>0</v>
      </c>
      <c r="L891" t="n">
        <v>0</v>
      </c>
      <c r="M891" t="n">
        <v>0</v>
      </c>
      <c r="N891" t="n">
        <v>0</v>
      </c>
      <c r="O891" t="n">
        <v>0</v>
      </c>
      <c r="P891" t="n">
        <v>0</v>
      </c>
      <c r="Q891" t="n">
        <v>0</v>
      </c>
      <c r="R891" s="2" t="inlineStr"/>
    </row>
    <row r="892" ht="15" customHeight="1">
      <c r="A892" t="inlineStr">
        <is>
          <t>A 60545-2018</t>
        </is>
      </c>
      <c r="B892" s="1" t="n">
        <v>43408</v>
      </c>
      <c r="C892" s="1" t="n">
        <v>45227</v>
      </c>
      <c r="D892" t="inlineStr">
        <is>
          <t>VÄSTRA GÖTALANDS LÄN</t>
        </is>
      </c>
      <c r="E892" t="inlineStr">
        <is>
          <t>LIDKÖPING</t>
        </is>
      </c>
      <c r="G892" t="n">
        <v>4.1</v>
      </c>
      <c r="H892" t="n">
        <v>0</v>
      </c>
      <c r="I892" t="n">
        <v>0</v>
      </c>
      <c r="J892" t="n">
        <v>0</v>
      </c>
      <c r="K892" t="n">
        <v>0</v>
      </c>
      <c r="L892" t="n">
        <v>0</v>
      </c>
      <c r="M892" t="n">
        <v>0</v>
      </c>
      <c r="N892" t="n">
        <v>0</v>
      </c>
      <c r="O892" t="n">
        <v>0</v>
      </c>
      <c r="P892" t="n">
        <v>0</v>
      </c>
      <c r="Q892" t="n">
        <v>0</v>
      </c>
      <c r="R892" s="2" t="inlineStr"/>
    </row>
    <row r="893" ht="15" customHeight="1">
      <c r="A893" t="inlineStr">
        <is>
          <t>A 58210-2018</t>
        </is>
      </c>
      <c r="B893" s="1" t="n">
        <v>43408</v>
      </c>
      <c r="C893" s="1" t="n">
        <v>45227</v>
      </c>
      <c r="D893" t="inlineStr">
        <is>
          <t>VÄSTRA GÖTALANDS LÄN</t>
        </is>
      </c>
      <c r="E893" t="inlineStr">
        <is>
          <t>TIDAHOLM</t>
        </is>
      </c>
      <c r="G893" t="n">
        <v>0.2</v>
      </c>
      <c r="H893" t="n">
        <v>0</v>
      </c>
      <c r="I893" t="n">
        <v>0</v>
      </c>
      <c r="J893" t="n">
        <v>0</v>
      </c>
      <c r="K893" t="n">
        <v>0</v>
      </c>
      <c r="L893" t="n">
        <v>0</v>
      </c>
      <c r="M893" t="n">
        <v>0</v>
      </c>
      <c r="N893" t="n">
        <v>0</v>
      </c>
      <c r="O893" t="n">
        <v>0</v>
      </c>
      <c r="P893" t="n">
        <v>0</v>
      </c>
      <c r="Q893" t="n">
        <v>0</v>
      </c>
      <c r="R893" s="2" t="inlineStr"/>
    </row>
    <row r="894" ht="15" customHeight="1">
      <c r="A894" t="inlineStr">
        <is>
          <t>A 58543-2018</t>
        </is>
      </c>
      <c r="B894" s="1" t="n">
        <v>43409</v>
      </c>
      <c r="C894" s="1" t="n">
        <v>45227</v>
      </c>
      <c r="D894" t="inlineStr">
        <is>
          <t>VÄSTRA GÖTALANDS LÄN</t>
        </is>
      </c>
      <c r="E894" t="inlineStr">
        <is>
          <t>BORÅS</t>
        </is>
      </c>
      <c r="G894" t="n">
        <v>4</v>
      </c>
      <c r="H894" t="n">
        <v>0</v>
      </c>
      <c r="I894" t="n">
        <v>0</v>
      </c>
      <c r="J894" t="n">
        <v>0</v>
      </c>
      <c r="K894" t="n">
        <v>0</v>
      </c>
      <c r="L894" t="n">
        <v>0</v>
      </c>
      <c r="M894" t="n">
        <v>0</v>
      </c>
      <c r="N894" t="n">
        <v>0</v>
      </c>
      <c r="O894" t="n">
        <v>0</v>
      </c>
      <c r="P894" t="n">
        <v>0</v>
      </c>
      <c r="Q894" t="n">
        <v>0</v>
      </c>
      <c r="R894" s="2" t="inlineStr"/>
    </row>
    <row r="895" ht="15" customHeight="1">
      <c r="A895" t="inlineStr">
        <is>
          <t>A 60705-2018</t>
        </is>
      </c>
      <c r="B895" s="1" t="n">
        <v>43409</v>
      </c>
      <c r="C895" s="1" t="n">
        <v>45227</v>
      </c>
      <c r="D895" t="inlineStr">
        <is>
          <t>VÄSTRA GÖTALANDS LÄN</t>
        </is>
      </c>
      <c r="E895" t="inlineStr">
        <is>
          <t>TANUM</t>
        </is>
      </c>
      <c r="G895" t="n">
        <v>1.8</v>
      </c>
      <c r="H895" t="n">
        <v>0</v>
      </c>
      <c r="I895" t="n">
        <v>0</v>
      </c>
      <c r="J895" t="n">
        <v>0</v>
      </c>
      <c r="K895" t="n">
        <v>0</v>
      </c>
      <c r="L895" t="n">
        <v>0</v>
      </c>
      <c r="M895" t="n">
        <v>0</v>
      </c>
      <c r="N895" t="n">
        <v>0</v>
      </c>
      <c r="O895" t="n">
        <v>0</v>
      </c>
      <c r="P895" t="n">
        <v>0</v>
      </c>
      <c r="Q895" t="n">
        <v>0</v>
      </c>
      <c r="R895" s="2" t="inlineStr"/>
    </row>
    <row r="896" ht="15" customHeight="1">
      <c r="A896" t="inlineStr">
        <is>
          <t>A 60706-2018</t>
        </is>
      </c>
      <c r="B896" s="1" t="n">
        <v>43409</v>
      </c>
      <c r="C896" s="1" t="n">
        <v>45227</v>
      </c>
      <c r="D896" t="inlineStr">
        <is>
          <t>VÄSTRA GÖTALANDS LÄN</t>
        </is>
      </c>
      <c r="E896" t="inlineStr">
        <is>
          <t>VARA</t>
        </is>
      </c>
      <c r="G896" t="n">
        <v>0.7</v>
      </c>
      <c r="H896" t="n">
        <v>0</v>
      </c>
      <c r="I896" t="n">
        <v>0</v>
      </c>
      <c r="J896" t="n">
        <v>0</v>
      </c>
      <c r="K896" t="n">
        <v>0</v>
      </c>
      <c r="L896" t="n">
        <v>0</v>
      </c>
      <c r="M896" t="n">
        <v>0</v>
      </c>
      <c r="N896" t="n">
        <v>0</v>
      </c>
      <c r="O896" t="n">
        <v>0</v>
      </c>
      <c r="P896" t="n">
        <v>0</v>
      </c>
      <c r="Q896" t="n">
        <v>0</v>
      </c>
      <c r="R896" s="2" t="inlineStr"/>
    </row>
    <row r="897" ht="15" customHeight="1">
      <c r="A897" t="inlineStr">
        <is>
          <t>A 58312-2018</t>
        </is>
      </c>
      <c r="B897" s="1" t="n">
        <v>43409</v>
      </c>
      <c r="C897" s="1" t="n">
        <v>45227</v>
      </c>
      <c r="D897" t="inlineStr">
        <is>
          <t>VÄSTRA GÖTALANDS LÄN</t>
        </is>
      </c>
      <c r="E897" t="inlineStr">
        <is>
          <t>LYSEKIL</t>
        </is>
      </c>
      <c r="G897" t="n">
        <v>7.8</v>
      </c>
      <c r="H897" t="n">
        <v>0</v>
      </c>
      <c r="I897" t="n">
        <v>0</v>
      </c>
      <c r="J897" t="n">
        <v>0</v>
      </c>
      <c r="K897" t="n">
        <v>0</v>
      </c>
      <c r="L897" t="n">
        <v>0</v>
      </c>
      <c r="M897" t="n">
        <v>0</v>
      </c>
      <c r="N897" t="n">
        <v>0</v>
      </c>
      <c r="O897" t="n">
        <v>0</v>
      </c>
      <c r="P897" t="n">
        <v>0</v>
      </c>
      <c r="Q897" t="n">
        <v>0</v>
      </c>
      <c r="R897" s="2" t="inlineStr"/>
    </row>
    <row r="898" ht="15" customHeight="1">
      <c r="A898" t="inlineStr">
        <is>
          <t>A 58394-2018</t>
        </is>
      </c>
      <c r="B898" s="1" t="n">
        <v>43409</v>
      </c>
      <c r="C898" s="1" t="n">
        <v>45227</v>
      </c>
      <c r="D898" t="inlineStr">
        <is>
          <t>VÄSTRA GÖTALANDS LÄN</t>
        </is>
      </c>
      <c r="E898" t="inlineStr">
        <is>
          <t>BOLLEBYGD</t>
        </is>
      </c>
      <c r="G898" t="n">
        <v>6.6</v>
      </c>
      <c r="H898" t="n">
        <v>0</v>
      </c>
      <c r="I898" t="n">
        <v>0</v>
      </c>
      <c r="J898" t="n">
        <v>0</v>
      </c>
      <c r="K898" t="n">
        <v>0</v>
      </c>
      <c r="L898" t="n">
        <v>0</v>
      </c>
      <c r="M898" t="n">
        <v>0</v>
      </c>
      <c r="N898" t="n">
        <v>0</v>
      </c>
      <c r="O898" t="n">
        <v>0</v>
      </c>
      <c r="P898" t="n">
        <v>0</v>
      </c>
      <c r="Q898" t="n">
        <v>0</v>
      </c>
      <c r="R898" s="2" t="inlineStr"/>
    </row>
    <row r="899" ht="15" customHeight="1">
      <c r="A899" t="inlineStr">
        <is>
          <t>A 60677-2018</t>
        </is>
      </c>
      <c r="B899" s="1" t="n">
        <v>43409</v>
      </c>
      <c r="C899" s="1" t="n">
        <v>45227</v>
      </c>
      <c r="D899" t="inlineStr">
        <is>
          <t>VÄSTRA GÖTALANDS LÄN</t>
        </is>
      </c>
      <c r="E899" t="inlineStr">
        <is>
          <t>ÅMÅL</t>
        </is>
      </c>
      <c r="G899" t="n">
        <v>0.7</v>
      </c>
      <c r="H899" t="n">
        <v>0</v>
      </c>
      <c r="I899" t="n">
        <v>0</v>
      </c>
      <c r="J899" t="n">
        <v>0</v>
      </c>
      <c r="K899" t="n">
        <v>0</v>
      </c>
      <c r="L899" t="n">
        <v>0</v>
      </c>
      <c r="M899" t="n">
        <v>0</v>
      </c>
      <c r="N899" t="n">
        <v>0</v>
      </c>
      <c r="O899" t="n">
        <v>0</v>
      </c>
      <c r="P899" t="n">
        <v>0</v>
      </c>
      <c r="Q899" t="n">
        <v>0</v>
      </c>
      <c r="R899" s="2" t="inlineStr"/>
    </row>
    <row r="900" ht="15" customHeight="1">
      <c r="A900" t="inlineStr">
        <is>
          <t>A 58328-2018</t>
        </is>
      </c>
      <c r="B900" s="1" t="n">
        <v>43409</v>
      </c>
      <c r="C900" s="1" t="n">
        <v>45227</v>
      </c>
      <c r="D900" t="inlineStr">
        <is>
          <t>VÄSTRA GÖTALANDS LÄN</t>
        </is>
      </c>
      <c r="E900" t="inlineStr">
        <is>
          <t>BENGTSFORS</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58835-2018</t>
        </is>
      </c>
      <c r="B901" s="1" t="n">
        <v>43410</v>
      </c>
      <c r="C901" s="1" t="n">
        <v>45227</v>
      </c>
      <c r="D901" t="inlineStr">
        <is>
          <t>VÄSTRA GÖTALANDS LÄN</t>
        </is>
      </c>
      <c r="E901" t="inlineStr">
        <is>
          <t>ALINGSÅS</t>
        </is>
      </c>
      <c r="G901" t="n">
        <v>1.2</v>
      </c>
      <c r="H901" t="n">
        <v>0</v>
      </c>
      <c r="I901" t="n">
        <v>0</v>
      </c>
      <c r="J901" t="n">
        <v>0</v>
      </c>
      <c r="K901" t="n">
        <v>0</v>
      </c>
      <c r="L901" t="n">
        <v>0</v>
      </c>
      <c r="M901" t="n">
        <v>0</v>
      </c>
      <c r="N901" t="n">
        <v>0</v>
      </c>
      <c r="O901" t="n">
        <v>0</v>
      </c>
      <c r="P901" t="n">
        <v>0</v>
      </c>
      <c r="Q901" t="n">
        <v>0</v>
      </c>
      <c r="R901" s="2" t="inlineStr"/>
    </row>
    <row r="902" ht="15" customHeight="1">
      <c r="A902" t="inlineStr">
        <is>
          <t>A 60799-2018</t>
        </is>
      </c>
      <c r="B902" s="1" t="n">
        <v>43410</v>
      </c>
      <c r="C902" s="1" t="n">
        <v>45227</v>
      </c>
      <c r="D902" t="inlineStr">
        <is>
          <t>VÄSTRA GÖTALANDS LÄN</t>
        </is>
      </c>
      <c r="E902" t="inlineStr">
        <is>
          <t>STRÖMSTAD</t>
        </is>
      </c>
      <c r="G902" t="n">
        <v>2.4</v>
      </c>
      <c r="H902" t="n">
        <v>0</v>
      </c>
      <c r="I902" t="n">
        <v>0</v>
      </c>
      <c r="J902" t="n">
        <v>0</v>
      </c>
      <c r="K902" t="n">
        <v>0</v>
      </c>
      <c r="L902" t="n">
        <v>0</v>
      </c>
      <c r="M902" t="n">
        <v>0</v>
      </c>
      <c r="N902" t="n">
        <v>0</v>
      </c>
      <c r="O902" t="n">
        <v>0</v>
      </c>
      <c r="P902" t="n">
        <v>0</v>
      </c>
      <c r="Q902" t="n">
        <v>0</v>
      </c>
      <c r="R902" s="2" t="inlineStr"/>
    </row>
    <row r="903" ht="15" customHeight="1">
      <c r="A903" t="inlineStr">
        <is>
          <t>A 60772-2018</t>
        </is>
      </c>
      <c r="B903" s="1" t="n">
        <v>43410</v>
      </c>
      <c r="C903" s="1" t="n">
        <v>45227</v>
      </c>
      <c r="D903" t="inlineStr">
        <is>
          <t>VÄSTRA GÖTALANDS LÄN</t>
        </is>
      </c>
      <c r="E903" t="inlineStr">
        <is>
          <t>ÅMÅL</t>
        </is>
      </c>
      <c r="G903" t="n">
        <v>1.1</v>
      </c>
      <c r="H903" t="n">
        <v>0</v>
      </c>
      <c r="I903" t="n">
        <v>0</v>
      </c>
      <c r="J903" t="n">
        <v>0</v>
      </c>
      <c r="K903" t="n">
        <v>0</v>
      </c>
      <c r="L903" t="n">
        <v>0</v>
      </c>
      <c r="M903" t="n">
        <v>0</v>
      </c>
      <c r="N903" t="n">
        <v>0</v>
      </c>
      <c r="O903" t="n">
        <v>0</v>
      </c>
      <c r="P903" t="n">
        <v>0</v>
      </c>
      <c r="Q903" t="n">
        <v>0</v>
      </c>
      <c r="R903" s="2" t="inlineStr"/>
    </row>
    <row r="904" ht="15" customHeight="1">
      <c r="A904" t="inlineStr">
        <is>
          <t>A 60819-2018</t>
        </is>
      </c>
      <c r="B904" s="1" t="n">
        <v>43410</v>
      </c>
      <c r="C904" s="1" t="n">
        <v>45227</v>
      </c>
      <c r="D904" t="inlineStr">
        <is>
          <t>VÄSTRA GÖTALANDS LÄN</t>
        </is>
      </c>
      <c r="E904" t="inlineStr">
        <is>
          <t>BORÅS</t>
        </is>
      </c>
      <c r="G904" t="n">
        <v>2.2</v>
      </c>
      <c r="H904" t="n">
        <v>0</v>
      </c>
      <c r="I904" t="n">
        <v>0</v>
      </c>
      <c r="J904" t="n">
        <v>0</v>
      </c>
      <c r="K904" t="n">
        <v>0</v>
      </c>
      <c r="L904" t="n">
        <v>0</v>
      </c>
      <c r="M904" t="n">
        <v>0</v>
      </c>
      <c r="N904" t="n">
        <v>0</v>
      </c>
      <c r="O904" t="n">
        <v>0</v>
      </c>
      <c r="P904" t="n">
        <v>0</v>
      </c>
      <c r="Q904" t="n">
        <v>0</v>
      </c>
      <c r="R904" s="2" t="inlineStr"/>
    </row>
    <row r="905" ht="15" customHeight="1">
      <c r="A905" t="inlineStr">
        <is>
          <t>A 60776-2018</t>
        </is>
      </c>
      <c r="B905" s="1" t="n">
        <v>43410</v>
      </c>
      <c r="C905" s="1" t="n">
        <v>45227</v>
      </c>
      <c r="D905" t="inlineStr">
        <is>
          <t>VÄSTRA GÖTALANDS LÄN</t>
        </is>
      </c>
      <c r="E905" t="inlineStr">
        <is>
          <t>STRÖMSTAD</t>
        </is>
      </c>
      <c r="G905" t="n">
        <v>1.5</v>
      </c>
      <c r="H905" t="n">
        <v>0</v>
      </c>
      <c r="I905" t="n">
        <v>0</v>
      </c>
      <c r="J905" t="n">
        <v>0</v>
      </c>
      <c r="K905" t="n">
        <v>0</v>
      </c>
      <c r="L905" t="n">
        <v>0</v>
      </c>
      <c r="M905" t="n">
        <v>0</v>
      </c>
      <c r="N905" t="n">
        <v>0</v>
      </c>
      <c r="O905" t="n">
        <v>0</v>
      </c>
      <c r="P905" t="n">
        <v>0</v>
      </c>
      <c r="Q905" t="n">
        <v>0</v>
      </c>
      <c r="R905" s="2" t="inlineStr"/>
    </row>
    <row r="906" ht="15" customHeight="1">
      <c r="A906" t="inlineStr">
        <is>
          <t>A 60823-2018</t>
        </is>
      </c>
      <c r="B906" s="1" t="n">
        <v>43410</v>
      </c>
      <c r="C906" s="1" t="n">
        <v>45227</v>
      </c>
      <c r="D906" t="inlineStr">
        <is>
          <t>VÄSTRA GÖTALANDS LÄN</t>
        </is>
      </c>
      <c r="E906" t="inlineStr">
        <is>
          <t>BORÅS</t>
        </is>
      </c>
      <c r="G906" t="n">
        <v>0.8</v>
      </c>
      <c r="H906" t="n">
        <v>0</v>
      </c>
      <c r="I906" t="n">
        <v>0</v>
      </c>
      <c r="J906" t="n">
        <v>0</v>
      </c>
      <c r="K906" t="n">
        <v>0</v>
      </c>
      <c r="L906" t="n">
        <v>0</v>
      </c>
      <c r="M906" t="n">
        <v>0</v>
      </c>
      <c r="N906" t="n">
        <v>0</v>
      </c>
      <c r="O906" t="n">
        <v>0</v>
      </c>
      <c r="P906" t="n">
        <v>0</v>
      </c>
      <c r="Q906" t="n">
        <v>0</v>
      </c>
      <c r="R906" s="2" t="inlineStr"/>
    </row>
    <row r="907" ht="15" customHeight="1">
      <c r="A907" t="inlineStr">
        <is>
          <t>A 58589-2018</t>
        </is>
      </c>
      <c r="B907" s="1" t="n">
        <v>43410</v>
      </c>
      <c r="C907" s="1" t="n">
        <v>45227</v>
      </c>
      <c r="D907" t="inlineStr">
        <is>
          <t>VÄSTRA GÖTALANDS LÄN</t>
        </is>
      </c>
      <c r="E907" t="inlineStr">
        <is>
          <t>ALE</t>
        </is>
      </c>
      <c r="G907" t="n">
        <v>4.6</v>
      </c>
      <c r="H907" t="n">
        <v>0</v>
      </c>
      <c r="I907" t="n">
        <v>0</v>
      </c>
      <c r="J907" t="n">
        <v>0</v>
      </c>
      <c r="K907" t="n">
        <v>0</v>
      </c>
      <c r="L907" t="n">
        <v>0</v>
      </c>
      <c r="M907" t="n">
        <v>0</v>
      </c>
      <c r="N907" t="n">
        <v>0</v>
      </c>
      <c r="O907" t="n">
        <v>0</v>
      </c>
      <c r="P907" t="n">
        <v>0</v>
      </c>
      <c r="Q907" t="n">
        <v>0</v>
      </c>
      <c r="R907" s="2" t="inlineStr"/>
    </row>
    <row r="908" ht="15" customHeight="1">
      <c r="A908" t="inlineStr">
        <is>
          <t>A 58687-2018</t>
        </is>
      </c>
      <c r="B908" s="1" t="n">
        <v>43410</v>
      </c>
      <c r="C908" s="1" t="n">
        <v>45227</v>
      </c>
      <c r="D908" t="inlineStr">
        <is>
          <t>VÄSTRA GÖTALANDS LÄN</t>
        </is>
      </c>
      <c r="E908" t="inlineStr">
        <is>
          <t>VÄNERSBORG</t>
        </is>
      </c>
      <c r="F908" t="inlineStr">
        <is>
          <t>Kommuner</t>
        </is>
      </c>
      <c r="G908" t="n">
        <v>5.2</v>
      </c>
      <c r="H908" t="n">
        <v>0</v>
      </c>
      <c r="I908" t="n">
        <v>0</v>
      </c>
      <c r="J908" t="n">
        <v>0</v>
      </c>
      <c r="K908" t="n">
        <v>0</v>
      </c>
      <c r="L908" t="n">
        <v>0</v>
      </c>
      <c r="M908" t="n">
        <v>0</v>
      </c>
      <c r="N908" t="n">
        <v>0</v>
      </c>
      <c r="O908" t="n">
        <v>0</v>
      </c>
      <c r="P908" t="n">
        <v>0</v>
      </c>
      <c r="Q908" t="n">
        <v>0</v>
      </c>
      <c r="R908" s="2" t="inlineStr"/>
    </row>
    <row r="909" ht="15" customHeight="1">
      <c r="A909" t="inlineStr">
        <is>
          <t>A 60773-2018</t>
        </is>
      </c>
      <c r="B909" s="1" t="n">
        <v>43410</v>
      </c>
      <c r="C909" s="1" t="n">
        <v>45227</v>
      </c>
      <c r="D909" t="inlineStr">
        <is>
          <t>VÄSTRA GÖTALANDS LÄN</t>
        </is>
      </c>
      <c r="E909" t="inlineStr">
        <is>
          <t>ÅMÅL</t>
        </is>
      </c>
      <c r="G909" t="n">
        <v>14.4</v>
      </c>
      <c r="H909" t="n">
        <v>0</v>
      </c>
      <c r="I909" t="n">
        <v>0</v>
      </c>
      <c r="J909" t="n">
        <v>0</v>
      </c>
      <c r="K909" t="n">
        <v>0</v>
      </c>
      <c r="L909" t="n">
        <v>0</v>
      </c>
      <c r="M909" t="n">
        <v>0</v>
      </c>
      <c r="N909" t="n">
        <v>0</v>
      </c>
      <c r="O909" t="n">
        <v>0</v>
      </c>
      <c r="P909" t="n">
        <v>0</v>
      </c>
      <c r="Q909" t="n">
        <v>0</v>
      </c>
      <c r="R909" s="2" t="inlineStr"/>
    </row>
    <row r="910" ht="15" customHeight="1">
      <c r="A910" t="inlineStr">
        <is>
          <t>A 59103-2018</t>
        </is>
      </c>
      <c r="B910" s="1" t="n">
        <v>43411</v>
      </c>
      <c r="C910" s="1" t="n">
        <v>45227</v>
      </c>
      <c r="D910" t="inlineStr">
        <is>
          <t>VÄSTRA GÖTALANDS LÄN</t>
        </is>
      </c>
      <c r="E910" t="inlineStr">
        <is>
          <t>LILLA EDET</t>
        </is>
      </c>
      <c r="G910" t="n">
        <v>1</v>
      </c>
      <c r="H910" t="n">
        <v>0</v>
      </c>
      <c r="I910" t="n">
        <v>0</v>
      </c>
      <c r="J910" t="n">
        <v>0</v>
      </c>
      <c r="K910" t="n">
        <v>0</v>
      </c>
      <c r="L910" t="n">
        <v>0</v>
      </c>
      <c r="M910" t="n">
        <v>0</v>
      </c>
      <c r="N910" t="n">
        <v>0</v>
      </c>
      <c r="O910" t="n">
        <v>0</v>
      </c>
      <c r="P910" t="n">
        <v>0</v>
      </c>
      <c r="Q910" t="n">
        <v>0</v>
      </c>
      <c r="R910" s="2" t="inlineStr"/>
    </row>
    <row r="911" ht="15" customHeight="1">
      <c r="A911" t="inlineStr">
        <is>
          <t>A 61041-2018</t>
        </is>
      </c>
      <c r="B911" s="1" t="n">
        <v>43411</v>
      </c>
      <c r="C911" s="1" t="n">
        <v>45227</v>
      </c>
      <c r="D911" t="inlineStr">
        <is>
          <t>VÄSTRA GÖTALANDS LÄN</t>
        </is>
      </c>
      <c r="E911" t="inlineStr">
        <is>
          <t>BORÅS</t>
        </is>
      </c>
      <c r="F911" t="inlineStr">
        <is>
          <t>Kommuner</t>
        </is>
      </c>
      <c r="G911" t="n">
        <v>0.5</v>
      </c>
      <c r="H911" t="n">
        <v>0</v>
      </c>
      <c r="I911" t="n">
        <v>0</v>
      </c>
      <c r="J911" t="n">
        <v>0</v>
      </c>
      <c r="K911" t="n">
        <v>0</v>
      </c>
      <c r="L911" t="n">
        <v>0</v>
      </c>
      <c r="M911" t="n">
        <v>0</v>
      </c>
      <c r="N911" t="n">
        <v>0</v>
      </c>
      <c r="O911" t="n">
        <v>0</v>
      </c>
      <c r="P911" t="n">
        <v>0</v>
      </c>
      <c r="Q911" t="n">
        <v>0</v>
      </c>
      <c r="R911" s="2" t="inlineStr"/>
    </row>
    <row r="912" ht="15" customHeight="1">
      <c r="A912" t="inlineStr">
        <is>
          <t>A 59112-2018</t>
        </is>
      </c>
      <c r="B912" s="1" t="n">
        <v>43411</v>
      </c>
      <c r="C912" s="1" t="n">
        <v>45227</v>
      </c>
      <c r="D912" t="inlineStr">
        <is>
          <t>VÄSTRA GÖTALANDS LÄN</t>
        </is>
      </c>
      <c r="E912" t="inlineStr">
        <is>
          <t>BORÅS</t>
        </is>
      </c>
      <c r="G912" t="n">
        <v>1.1</v>
      </c>
      <c r="H912" t="n">
        <v>0</v>
      </c>
      <c r="I912" t="n">
        <v>0</v>
      </c>
      <c r="J912" t="n">
        <v>0</v>
      </c>
      <c r="K912" t="n">
        <v>0</v>
      </c>
      <c r="L912" t="n">
        <v>0</v>
      </c>
      <c r="M912" t="n">
        <v>0</v>
      </c>
      <c r="N912" t="n">
        <v>0</v>
      </c>
      <c r="O912" t="n">
        <v>0</v>
      </c>
      <c r="P912" t="n">
        <v>0</v>
      </c>
      <c r="Q912" t="n">
        <v>0</v>
      </c>
      <c r="R912" s="2" t="inlineStr"/>
    </row>
    <row r="913" ht="15" customHeight="1">
      <c r="A913" t="inlineStr">
        <is>
          <t>A 59775-2018</t>
        </is>
      </c>
      <c r="B913" s="1" t="n">
        <v>43411</v>
      </c>
      <c r="C913" s="1" t="n">
        <v>45227</v>
      </c>
      <c r="D913" t="inlineStr">
        <is>
          <t>VÄSTRA GÖTALANDS LÄN</t>
        </is>
      </c>
      <c r="E913" t="inlineStr">
        <is>
          <t>MÖLNDAL</t>
        </is>
      </c>
      <c r="G913" t="n">
        <v>1.3</v>
      </c>
      <c r="H913" t="n">
        <v>0</v>
      </c>
      <c r="I913" t="n">
        <v>0</v>
      </c>
      <c r="J913" t="n">
        <v>0</v>
      </c>
      <c r="K913" t="n">
        <v>0</v>
      </c>
      <c r="L913" t="n">
        <v>0</v>
      </c>
      <c r="M913" t="n">
        <v>0</v>
      </c>
      <c r="N913" t="n">
        <v>0</v>
      </c>
      <c r="O913" t="n">
        <v>0</v>
      </c>
      <c r="P913" t="n">
        <v>0</v>
      </c>
      <c r="Q913" t="n">
        <v>0</v>
      </c>
      <c r="R913" s="2" t="inlineStr"/>
    </row>
    <row r="914" ht="15" customHeight="1">
      <c r="A914" t="inlineStr">
        <is>
          <t>A 60899-2018</t>
        </is>
      </c>
      <c r="B914" s="1" t="n">
        <v>43411</v>
      </c>
      <c r="C914" s="1" t="n">
        <v>45227</v>
      </c>
      <c r="D914" t="inlineStr">
        <is>
          <t>VÄSTRA GÖTALANDS LÄN</t>
        </is>
      </c>
      <c r="E914" t="inlineStr">
        <is>
          <t>MARK</t>
        </is>
      </c>
      <c r="G914" t="n">
        <v>1.1</v>
      </c>
      <c r="H914" t="n">
        <v>0</v>
      </c>
      <c r="I914" t="n">
        <v>0</v>
      </c>
      <c r="J914" t="n">
        <v>0</v>
      </c>
      <c r="K914" t="n">
        <v>0</v>
      </c>
      <c r="L914" t="n">
        <v>0</v>
      </c>
      <c r="M914" t="n">
        <v>0</v>
      </c>
      <c r="N914" t="n">
        <v>0</v>
      </c>
      <c r="O914" t="n">
        <v>0</v>
      </c>
      <c r="P914" t="n">
        <v>0</v>
      </c>
      <c r="Q914" t="n">
        <v>0</v>
      </c>
      <c r="R914" s="2" t="inlineStr"/>
    </row>
    <row r="915" ht="15" customHeight="1">
      <c r="A915" t="inlineStr">
        <is>
          <t>A 59119-2018</t>
        </is>
      </c>
      <c r="B915" s="1" t="n">
        <v>43411</v>
      </c>
      <c r="C915" s="1" t="n">
        <v>45227</v>
      </c>
      <c r="D915" t="inlineStr">
        <is>
          <t>VÄSTRA GÖTALANDS LÄN</t>
        </is>
      </c>
      <c r="E915" t="inlineStr">
        <is>
          <t>BORÅS</t>
        </is>
      </c>
      <c r="G915" t="n">
        <v>0.6</v>
      </c>
      <c r="H915" t="n">
        <v>0</v>
      </c>
      <c r="I915" t="n">
        <v>0</v>
      </c>
      <c r="J915" t="n">
        <v>0</v>
      </c>
      <c r="K915" t="n">
        <v>0</v>
      </c>
      <c r="L915" t="n">
        <v>0</v>
      </c>
      <c r="M915" t="n">
        <v>0</v>
      </c>
      <c r="N915" t="n">
        <v>0</v>
      </c>
      <c r="O915" t="n">
        <v>0</v>
      </c>
      <c r="P915" t="n">
        <v>0</v>
      </c>
      <c r="Q915" t="n">
        <v>0</v>
      </c>
      <c r="R915" s="2" t="inlineStr"/>
    </row>
    <row r="916" ht="15" customHeight="1">
      <c r="A916" t="inlineStr">
        <is>
          <t>A 59319-2018</t>
        </is>
      </c>
      <c r="B916" s="1" t="n">
        <v>43411</v>
      </c>
      <c r="C916" s="1" t="n">
        <v>45227</v>
      </c>
      <c r="D916" t="inlineStr">
        <is>
          <t>VÄSTRA GÖTALANDS LÄN</t>
        </is>
      </c>
      <c r="E916" t="inlineStr">
        <is>
          <t>ALE</t>
        </is>
      </c>
      <c r="G916" t="n">
        <v>12.5</v>
      </c>
      <c r="H916" t="n">
        <v>0</v>
      </c>
      <c r="I916" t="n">
        <v>0</v>
      </c>
      <c r="J916" t="n">
        <v>0</v>
      </c>
      <c r="K916" t="n">
        <v>0</v>
      </c>
      <c r="L916" t="n">
        <v>0</v>
      </c>
      <c r="M916" t="n">
        <v>0</v>
      </c>
      <c r="N916" t="n">
        <v>0</v>
      </c>
      <c r="O916" t="n">
        <v>0</v>
      </c>
      <c r="P916" t="n">
        <v>0</v>
      </c>
      <c r="Q916" t="n">
        <v>0</v>
      </c>
      <c r="R916" s="2" t="inlineStr"/>
    </row>
    <row r="917" ht="15" customHeight="1">
      <c r="A917" t="inlineStr">
        <is>
          <t>A 59332-2018</t>
        </is>
      </c>
      <c r="B917" s="1" t="n">
        <v>43411</v>
      </c>
      <c r="C917" s="1" t="n">
        <v>45227</v>
      </c>
      <c r="D917" t="inlineStr">
        <is>
          <t>VÄSTRA GÖTALANDS LÄN</t>
        </is>
      </c>
      <c r="E917" t="inlineStr">
        <is>
          <t>LILLA EDET</t>
        </is>
      </c>
      <c r="G917" t="n">
        <v>3.6</v>
      </c>
      <c r="H917" t="n">
        <v>0</v>
      </c>
      <c r="I917" t="n">
        <v>0</v>
      </c>
      <c r="J917" t="n">
        <v>0</v>
      </c>
      <c r="K917" t="n">
        <v>0</v>
      </c>
      <c r="L917" t="n">
        <v>0</v>
      </c>
      <c r="M917" t="n">
        <v>0</v>
      </c>
      <c r="N917" t="n">
        <v>0</v>
      </c>
      <c r="O917" t="n">
        <v>0</v>
      </c>
      <c r="P917" t="n">
        <v>0</v>
      </c>
      <c r="Q917" t="n">
        <v>0</v>
      </c>
      <c r="R917" s="2" t="inlineStr"/>
    </row>
    <row r="918" ht="15" customHeight="1">
      <c r="A918" t="inlineStr">
        <is>
          <t>A 59774-2018</t>
        </is>
      </c>
      <c r="B918" s="1" t="n">
        <v>43411</v>
      </c>
      <c r="C918" s="1" t="n">
        <v>45227</v>
      </c>
      <c r="D918" t="inlineStr">
        <is>
          <t>VÄSTRA GÖTALANDS LÄN</t>
        </is>
      </c>
      <c r="E918" t="inlineStr">
        <is>
          <t>MARIESTAD</t>
        </is>
      </c>
      <c r="G918" t="n">
        <v>0.5</v>
      </c>
      <c r="H918" t="n">
        <v>0</v>
      </c>
      <c r="I918" t="n">
        <v>0</v>
      </c>
      <c r="J918" t="n">
        <v>0</v>
      </c>
      <c r="K918" t="n">
        <v>0</v>
      </c>
      <c r="L918" t="n">
        <v>0</v>
      </c>
      <c r="M918" t="n">
        <v>0</v>
      </c>
      <c r="N918" t="n">
        <v>0</v>
      </c>
      <c r="O918" t="n">
        <v>0</v>
      </c>
      <c r="P918" t="n">
        <v>0</v>
      </c>
      <c r="Q918" t="n">
        <v>0</v>
      </c>
      <c r="R918" s="2" t="inlineStr"/>
    </row>
    <row r="919" ht="15" customHeight="1">
      <c r="A919" t="inlineStr">
        <is>
          <t>A 59126-2018</t>
        </is>
      </c>
      <c r="B919" s="1" t="n">
        <v>43411</v>
      </c>
      <c r="C919" s="1" t="n">
        <v>45227</v>
      </c>
      <c r="D919" t="inlineStr">
        <is>
          <t>VÄSTRA GÖTALANDS LÄN</t>
        </is>
      </c>
      <c r="E919" t="inlineStr">
        <is>
          <t>SVENLJUNGA</t>
        </is>
      </c>
      <c r="G919" t="n">
        <v>1.5</v>
      </c>
      <c r="H919" t="n">
        <v>0</v>
      </c>
      <c r="I919" t="n">
        <v>0</v>
      </c>
      <c r="J919" t="n">
        <v>0</v>
      </c>
      <c r="K919" t="n">
        <v>0</v>
      </c>
      <c r="L919" t="n">
        <v>0</v>
      </c>
      <c r="M919" t="n">
        <v>0</v>
      </c>
      <c r="N919" t="n">
        <v>0</v>
      </c>
      <c r="O919" t="n">
        <v>0</v>
      </c>
      <c r="P919" t="n">
        <v>0</v>
      </c>
      <c r="Q919" t="n">
        <v>0</v>
      </c>
      <c r="R919" s="2" t="inlineStr"/>
    </row>
    <row r="920" ht="15" customHeight="1">
      <c r="A920" t="inlineStr">
        <is>
          <t>A 59138-2018</t>
        </is>
      </c>
      <c r="B920" s="1" t="n">
        <v>43411</v>
      </c>
      <c r="C920" s="1" t="n">
        <v>45227</v>
      </c>
      <c r="D920" t="inlineStr">
        <is>
          <t>VÄSTRA GÖTALANDS LÄN</t>
        </is>
      </c>
      <c r="E920" t="inlineStr">
        <is>
          <t>BORÅS</t>
        </is>
      </c>
      <c r="G920" t="n">
        <v>1.1</v>
      </c>
      <c r="H920" t="n">
        <v>0</v>
      </c>
      <c r="I920" t="n">
        <v>0</v>
      </c>
      <c r="J920" t="n">
        <v>0</v>
      </c>
      <c r="K920" t="n">
        <v>0</v>
      </c>
      <c r="L920" t="n">
        <v>0</v>
      </c>
      <c r="M920" t="n">
        <v>0</v>
      </c>
      <c r="N920" t="n">
        <v>0</v>
      </c>
      <c r="O920" t="n">
        <v>0</v>
      </c>
      <c r="P920" t="n">
        <v>0</v>
      </c>
      <c r="Q920" t="n">
        <v>0</v>
      </c>
      <c r="R920" s="2" t="inlineStr"/>
    </row>
    <row r="921" ht="15" customHeight="1">
      <c r="A921" t="inlineStr">
        <is>
          <t>A 60012-2018</t>
        </is>
      </c>
      <c r="B921" s="1" t="n">
        <v>43412</v>
      </c>
      <c r="C921" s="1" t="n">
        <v>45227</v>
      </c>
      <c r="D921" t="inlineStr">
        <is>
          <t>VÄSTRA GÖTALANDS LÄN</t>
        </is>
      </c>
      <c r="E921" t="inlineStr">
        <is>
          <t>KUNGÄLV</t>
        </is>
      </c>
      <c r="G921" t="n">
        <v>6.1</v>
      </c>
      <c r="H921" t="n">
        <v>0</v>
      </c>
      <c r="I921" t="n">
        <v>0</v>
      </c>
      <c r="J921" t="n">
        <v>0</v>
      </c>
      <c r="K921" t="n">
        <v>0</v>
      </c>
      <c r="L921" t="n">
        <v>0</v>
      </c>
      <c r="M921" t="n">
        <v>0</v>
      </c>
      <c r="N921" t="n">
        <v>0</v>
      </c>
      <c r="O921" t="n">
        <v>0</v>
      </c>
      <c r="P921" t="n">
        <v>0</v>
      </c>
      <c r="Q921" t="n">
        <v>0</v>
      </c>
      <c r="R921" s="2" t="inlineStr"/>
    </row>
    <row r="922" ht="15" customHeight="1">
      <c r="A922" t="inlineStr">
        <is>
          <t>A 60020-2018</t>
        </is>
      </c>
      <c r="B922" s="1" t="n">
        <v>43412</v>
      </c>
      <c r="C922" s="1" t="n">
        <v>45227</v>
      </c>
      <c r="D922" t="inlineStr">
        <is>
          <t>VÄSTRA GÖTALANDS LÄN</t>
        </is>
      </c>
      <c r="E922" t="inlineStr">
        <is>
          <t>VÄNERSBORG</t>
        </is>
      </c>
      <c r="G922" t="n">
        <v>1.5</v>
      </c>
      <c r="H922" t="n">
        <v>0</v>
      </c>
      <c r="I922" t="n">
        <v>0</v>
      </c>
      <c r="J922" t="n">
        <v>0</v>
      </c>
      <c r="K922" t="n">
        <v>0</v>
      </c>
      <c r="L922" t="n">
        <v>0</v>
      </c>
      <c r="M922" t="n">
        <v>0</v>
      </c>
      <c r="N922" t="n">
        <v>0</v>
      </c>
      <c r="O922" t="n">
        <v>0</v>
      </c>
      <c r="P922" t="n">
        <v>0</v>
      </c>
      <c r="Q922" t="n">
        <v>0</v>
      </c>
      <c r="R922" s="2" t="inlineStr"/>
    </row>
    <row r="923" ht="15" customHeight="1">
      <c r="A923" t="inlineStr">
        <is>
          <t>A 60053-2018</t>
        </is>
      </c>
      <c r="B923" s="1" t="n">
        <v>43412</v>
      </c>
      <c r="C923" s="1" t="n">
        <v>45227</v>
      </c>
      <c r="D923" t="inlineStr">
        <is>
          <t>VÄSTRA GÖTALANDS LÄN</t>
        </is>
      </c>
      <c r="E923" t="inlineStr">
        <is>
          <t>GULLSPÅNG</t>
        </is>
      </c>
      <c r="G923" t="n">
        <v>3.2</v>
      </c>
      <c r="H923" t="n">
        <v>0</v>
      </c>
      <c r="I923" t="n">
        <v>0</v>
      </c>
      <c r="J923" t="n">
        <v>0</v>
      </c>
      <c r="K923" t="n">
        <v>0</v>
      </c>
      <c r="L923" t="n">
        <v>0</v>
      </c>
      <c r="M923" t="n">
        <v>0</v>
      </c>
      <c r="N923" t="n">
        <v>0</v>
      </c>
      <c r="O923" t="n">
        <v>0</v>
      </c>
      <c r="P923" t="n">
        <v>0</v>
      </c>
      <c r="Q923" t="n">
        <v>0</v>
      </c>
      <c r="R923" s="2" t="inlineStr"/>
    </row>
    <row r="924" ht="15" customHeight="1">
      <c r="A924" t="inlineStr">
        <is>
          <t>A 60080-2018</t>
        </is>
      </c>
      <c r="B924" s="1" t="n">
        <v>43412</v>
      </c>
      <c r="C924" s="1" t="n">
        <v>45227</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60128-2018</t>
        </is>
      </c>
      <c r="B925" s="1" t="n">
        <v>43412</v>
      </c>
      <c r="C925" s="1" t="n">
        <v>45227</v>
      </c>
      <c r="D925" t="inlineStr">
        <is>
          <t>VÄSTRA GÖTALANDS LÄN</t>
        </is>
      </c>
      <c r="E925" t="inlineStr">
        <is>
          <t>FÄRGELANDA</t>
        </is>
      </c>
      <c r="G925" t="n">
        <v>1.7</v>
      </c>
      <c r="H925" t="n">
        <v>0</v>
      </c>
      <c r="I925" t="n">
        <v>0</v>
      </c>
      <c r="J925" t="n">
        <v>0</v>
      </c>
      <c r="K925" t="n">
        <v>0</v>
      </c>
      <c r="L925" t="n">
        <v>0</v>
      </c>
      <c r="M925" t="n">
        <v>0</v>
      </c>
      <c r="N925" t="n">
        <v>0</v>
      </c>
      <c r="O925" t="n">
        <v>0</v>
      </c>
      <c r="P925" t="n">
        <v>0</v>
      </c>
      <c r="Q925" t="n">
        <v>0</v>
      </c>
      <c r="R925" s="2" t="inlineStr"/>
    </row>
    <row r="926" ht="15" customHeight="1">
      <c r="A926" t="inlineStr">
        <is>
          <t>A 60266-2018</t>
        </is>
      </c>
      <c r="B926" s="1" t="n">
        <v>43412</v>
      </c>
      <c r="C926" s="1" t="n">
        <v>45227</v>
      </c>
      <c r="D926" t="inlineStr">
        <is>
          <t>VÄSTRA GÖTALANDS LÄN</t>
        </is>
      </c>
      <c r="E926" t="inlineStr">
        <is>
          <t>ULRICEHAMN</t>
        </is>
      </c>
      <c r="G926" t="n">
        <v>3.5</v>
      </c>
      <c r="H926" t="n">
        <v>0</v>
      </c>
      <c r="I926" t="n">
        <v>0</v>
      </c>
      <c r="J926" t="n">
        <v>0</v>
      </c>
      <c r="K926" t="n">
        <v>0</v>
      </c>
      <c r="L926" t="n">
        <v>0</v>
      </c>
      <c r="M926" t="n">
        <v>0</v>
      </c>
      <c r="N926" t="n">
        <v>0</v>
      </c>
      <c r="O926" t="n">
        <v>0</v>
      </c>
      <c r="P926" t="n">
        <v>0</v>
      </c>
      <c r="Q926" t="n">
        <v>0</v>
      </c>
      <c r="R926" s="2" t="inlineStr"/>
    </row>
    <row r="927" ht="15" customHeight="1">
      <c r="A927" t="inlineStr">
        <is>
          <t>A 60083-2018</t>
        </is>
      </c>
      <c r="B927" s="1" t="n">
        <v>43412</v>
      </c>
      <c r="C927" s="1" t="n">
        <v>45227</v>
      </c>
      <c r="D927" t="inlineStr">
        <is>
          <t>VÄSTRA GÖTALANDS LÄN</t>
        </is>
      </c>
      <c r="E927" t="inlineStr">
        <is>
          <t>MARIESTAD</t>
        </is>
      </c>
      <c r="G927" t="n">
        <v>3.7</v>
      </c>
      <c r="H927" t="n">
        <v>0</v>
      </c>
      <c r="I927" t="n">
        <v>0</v>
      </c>
      <c r="J927" t="n">
        <v>0</v>
      </c>
      <c r="K927" t="n">
        <v>0</v>
      </c>
      <c r="L927" t="n">
        <v>0</v>
      </c>
      <c r="M927" t="n">
        <v>0</v>
      </c>
      <c r="N927" t="n">
        <v>0</v>
      </c>
      <c r="O927" t="n">
        <v>0</v>
      </c>
      <c r="P927" t="n">
        <v>0</v>
      </c>
      <c r="Q927" t="n">
        <v>0</v>
      </c>
      <c r="R927" s="2" t="inlineStr"/>
    </row>
    <row r="928" ht="15" customHeight="1">
      <c r="A928" t="inlineStr">
        <is>
          <t>A 60139-2018</t>
        </is>
      </c>
      <c r="B928" s="1" t="n">
        <v>43412</v>
      </c>
      <c r="C928" s="1" t="n">
        <v>45227</v>
      </c>
      <c r="D928" t="inlineStr">
        <is>
          <t>VÄSTRA GÖTALANDS LÄN</t>
        </is>
      </c>
      <c r="E928" t="inlineStr">
        <is>
          <t>LILLA EDET</t>
        </is>
      </c>
      <c r="G928" t="n">
        <v>2.8</v>
      </c>
      <c r="H928" t="n">
        <v>0</v>
      </c>
      <c r="I928" t="n">
        <v>0</v>
      </c>
      <c r="J928" t="n">
        <v>0</v>
      </c>
      <c r="K928" t="n">
        <v>0</v>
      </c>
      <c r="L928" t="n">
        <v>0</v>
      </c>
      <c r="M928" t="n">
        <v>0</v>
      </c>
      <c r="N928" t="n">
        <v>0</v>
      </c>
      <c r="O928" t="n">
        <v>0</v>
      </c>
      <c r="P928" t="n">
        <v>0</v>
      </c>
      <c r="Q928" t="n">
        <v>0</v>
      </c>
      <c r="R928" s="2" t="inlineStr"/>
    </row>
    <row r="929" ht="15" customHeight="1">
      <c r="A929" t="inlineStr">
        <is>
          <t>A 60234-2018</t>
        </is>
      </c>
      <c r="B929" s="1" t="n">
        <v>43412</v>
      </c>
      <c r="C929" s="1" t="n">
        <v>45227</v>
      </c>
      <c r="D929" t="inlineStr">
        <is>
          <t>VÄSTRA GÖTALANDS LÄN</t>
        </is>
      </c>
      <c r="E929" t="inlineStr">
        <is>
          <t>FÄRGELANDA</t>
        </is>
      </c>
      <c r="G929" t="n">
        <v>6.5</v>
      </c>
      <c r="H929" t="n">
        <v>0</v>
      </c>
      <c r="I929" t="n">
        <v>0</v>
      </c>
      <c r="J929" t="n">
        <v>0</v>
      </c>
      <c r="K929" t="n">
        <v>0</v>
      </c>
      <c r="L929" t="n">
        <v>0</v>
      </c>
      <c r="M929" t="n">
        <v>0</v>
      </c>
      <c r="N929" t="n">
        <v>0</v>
      </c>
      <c r="O929" t="n">
        <v>0</v>
      </c>
      <c r="P929" t="n">
        <v>0</v>
      </c>
      <c r="Q929" t="n">
        <v>0</v>
      </c>
      <c r="R929" s="2" t="inlineStr"/>
    </row>
    <row r="930" ht="15" customHeight="1">
      <c r="A930" t="inlineStr">
        <is>
          <t>A 60254-2018</t>
        </is>
      </c>
      <c r="B930" s="1" t="n">
        <v>43412</v>
      </c>
      <c r="C930" s="1" t="n">
        <v>45227</v>
      </c>
      <c r="D930" t="inlineStr">
        <is>
          <t>VÄSTRA GÖTALANDS LÄN</t>
        </is>
      </c>
      <c r="E930" t="inlineStr">
        <is>
          <t>VÄNERSBORG</t>
        </is>
      </c>
      <c r="G930" t="n">
        <v>1.5</v>
      </c>
      <c r="H930" t="n">
        <v>0</v>
      </c>
      <c r="I930" t="n">
        <v>0</v>
      </c>
      <c r="J930" t="n">
        <v>0</v>
      </c>
      <c r="K930" t="n">
        <v>0</v>
      </c>
      <c r="L930" t="n">
        <v>0</v>
      </c>
      <c r="M930" t="n">
        <v>0</v>
      </c>
      <c r="N930" t="n">
        <v>0</v>
      </c>
      <c r="O930" t="n">
        <v>0</v>
      </c>
      <c r="P930" t="n">
        <v>0</v>
      </c>
      <c r="Q930" t="n">
        <v>0</v>
      </c>
      <c r="R930" s="2" t="inlineStr"/>
    </row>
    <row r="931" ht="15" customHeight="1">
      <c r="A931" t="inlineStr">
        <is>
          <t>A 61050-2018</t>
        </is>
      </c>
      <c r="B931" s="1" t="n">
        <v>43412</v>
      </c>
      <c r="C931" s="1" t="n">
        <v>45227</v>
      </c>
      <c r="D931" t="inlineStr">
        <is>
          <t>VÄSTRA GÖTALANDS LÄN</t>
        </is>
      </c>
      <c r="E931" t="inlineStr">
        <is>
          <t>BOLLEBYGD</t>
        </is>
      </c>
      <c r="G931" t="n">
        <v>1.9</v>
      </c>
      <c r="H931" t="n">
        <v>0</v>
      </c>
      <c r="I931" t="n">
        <v>0</v>
      </c>
      <c r="J931" t="n">
        <v>0</v>
      </c>
      <c r="K931" t="n">
        <v>0</v>
      </c>
      <c r="L931" t="n">
        <v>0</v>
      </c>
      <c r="M931" t="n">
        <v>0</v>
      </c>
      <c r="N931" t="n">
        <v>0</v>
      </c>
      <c r="O931" t="n">
        <v>0</v>
      </c>
      <c r="P931" t="n">
        <v>0</v>
      </c>
      <c r="Q931" t="n">
        <v>0</v>
      </c>
      <c r="R931" s="2" t="inlineStr"/>
    </row>
    <row r="932" ht="15" customHeight="1">
      <c r="A932" t="inlineStr">
        <is>
          <t>A 60011-2018</t>
        </is>
      </c>
      <c r="B932" s="1" t="n">
        <v>43412</v>
      </c>
      <c r="C932" s="1" t="n">
        <v>45227</v>
      </c>
      <c r="D932" t="inlineStr">
        <is>
          <t>VÄSTRA GÖTALANDS LÄN</t>
        </is>
      </c>
      <c r="E932" t="inlineStr">
        <is>
          <t>MELLERUD</t>
        </is>
      </c>
      <c r="G932" t="n">
        <v>3.5</v>
      </c>
      <c r="H932" t="n">
        <v>0</v>
      </c>
      <c r="I932" t="n">
        <v>0</v>
      </c>
      <c r="J932" t="n">
        <v>0</v>
      </c>
      <c r="K932" t="n">
        <v>0</v>
      </c>
      <c r="L932" t="n">
        <v>0</v>
      </c>
      <c r="M932" t="n">
        <v>0</v>
      </c>
      <c r="N932" t="n">
        <v>0</v>
      </c>
      <c r="O932" t="n">
        <v>0</v>
      </c>
      <c r="P932" t="n">
        <v>0</v>
      </c>
      <c r="Q932" t="n">
        <v>0</v>
      </c>
      <c r="R932" s="2" t="inlineStr"/>
    </row>
    <row r="933" ht="15" customHeight="1">
      <c r="A933" t="inlineStr">
        <is>
          <t>A 60098-2018</t>
        </is>
      </c>
      <c r="B933" s="1" t="n">
        <v>43412</v>
      </c>
      <c r="C933" s="1" t="n">
        <v>45227</v>
      </c>
      <c r="D933" t="inlineStr">
        <is>
          <t>VÄSTRA GÖTALANDS LÄN</t>
        </is>
      </c>
      <c r="E933" t="inlineStr">
        <is>
          <t>KARLSBORG</t>
        </is>
      </c>
      <c r="G933" t="n">
        <v>1</v>
      </c>
      <c r="H933" t="n">
        <v>0</v>
      </c>
      <c r="I933" t="n">
        <v>0</v>
      </c>
      <c r="J933" t="n">
        <v>0</v>
      </c>
      <c r="K933" t="n">
        <v>0</v>
      </c>
      <c r="L933" t="n">
        <v>0</v>
      </c>
      <c r="M933" t="n">
        <v>0</v>
      </c>
      <c r="N933" t="n">
        <v>0</v>
      </c>
      <c r="O933" t="n">
        <v>0</v>
      </c>
      <c r="P933" t="n">
        <v>0</v>
      </c>
      <c r="Q933" t="n">
        <v>0</v>
      </c>
      <c r="R933" s="2" t="inlineStr"/>
    </row>
    <row r="934" ht="15" customHeight="1">
      <c r="A934" t="inlineStr">
        <is>
          <t>A 61328-2018</t>
        </is>
      </c>
      <c r="B934" s="1" t="n">
        <v>43412</v>
      </c>
      <c r="C934" s="1" t="n">
        <v>45227</v>
      </c>
      <c r="D934" t="inlineStr">
        <is>
          <t>VÄSTRA GÖTALANDS LÄN</t>
        </is>
      </c>
      <c r="E934" t="inlineStr">
        <is>
          <t>FALKÖPING</t>
        </is>
      </c>
      <c r="G934" t="n">
        <v>1.1</v>
      </c>
      <c r="H934" t="n">
        <v>0</v>
      </c>
      <c r="I934" t="n">
        <v>0</v>
      </c>
      <c r="J934" t="n">
        <v>0</v>
      </c>
      <c r="K934" t="n">
        <v>0</v>
      </c>
      <c r="L934" t="n">
        <v>0</v>
      </c>
      <c r="M934" t="n">
        <v>0</v>
      </c>
      <c r="N934" t="n">
        <v>0</v>
      </c>
      <c r="O934" t="n">
        <v>0</v>
      </c>
      <c r="P934" t="n">
        <v>0</v>
      </c>
      <c r="Q934" t="n">
        <v>0</v>
      </c>
      <c r="R934" s="2" t="inlineStr"/>
    </row>
    <row r="935" ht="15" customHeight="1">
      <c r="A935" t="inlineStr">
        <is>
          <t>A 60214-2018</t>
        </is>
      </c>
      <c r="B935" s="1" t="n">
        <v>43412</v>
      </c>
      <c r="C935" s="1" t="n">
        <v>45227</v>
      </c>
      <c r="D935" t="inlineStr">
        <is>
          <t>VÄSTRA GÖTALANDS LÄN</t>
        </is>
      </c>
      <c r="E935" t="inlineStr">
        <is>
          <t>TRANEMO</t>
        </is>
      </c>
      <c r="G935" t="n">
        <v>1.1</v>
      </c>
      <c r="H935" t="n">
        <v>0</v>
      </c>
      <c r="I935" t="n">
        <v>0</v>
      </c>
      <c r="J935" t="n">
        <v>0</v>
      </c>
      <c r="K935" t="n">
        <v>0</v>
      </c>
      <c r="L935" t="n">
        <v>0</v>
      </c>
      <c r="M935" t="n">
        <v>0</v>
      </c>
      <c r="N935" t="n">
        <v>0</v>
      </c>
      <c r="O935" t="n">
        <v>0</v>
      </c>
      <c r="P935" t="n">
        <v>0</v>
      </c>
      <c r="Q935" t="n">
        <v>0</v>
      </c>
      <c r="R935" s="2" t="inlineStr"/>
    </row>
    <row r="936" ht="15" customHeight="1">
      <c r="A936" t="inlineStr">
        <is>
          <t>A 60249-2018</t>
        </is>
      </c>
      <c r="B936" s="1" t="n">
        <v>43412</v>
      </c>
      <c r="C936" s="1" t="n">
        <v>45227</v>
      </c>
      <c r="D936" t="inlineStr">
        <is>
          <t>VÄSTRA GÖTALANDS LÄN</t>
        </is>
      </c>
      <c r="E936" t="inlineStr">
        <is>
          <t>TANUM</t>
        </is>
      </c>
      <c r="G936" t="n">
        <v>1.9</v>
      </c>
      <c r="H936" t="n">
        <v>0</v>
      </c>
      <c r="I936" t="n">
        <v>0</v>
      </c>
      <c r="J936" t="n">
        <v>0</v>
      </c>
      <c r="K936" t="n">
        <v>0</v>
      </c>
      <c r="L936" t="n">
        <v>0</v>
      </c>
      <c r="M936" t="n">
        <v>0</v>
      </c>
      <c r="N936" t="n">
        <v>0</v>
      </c>
      <c r="O936" t="n">
        <v>0</v>
      </c>
      <c r="P936" t="n">
        <v>0</v>
      </c>
      <c r="Q936" t="n">
        <v>0</v>
      </c>
      <c r="R936" s="2" t="inlineStr"/>
    </row>
    <row r="937" ht="15" customHeight="1">
      <c r="A937" t="inlineStr">
        <is>
          <t>A 61323-2018</t>
        </is>
      </c>
      <c r="B937" s="1" t="n">
        <v>43412</v>
      </c>
      <c r="C937" s="1" t="n">
        <v>45227</v>
      </c>
      <c r="D937" t="inlineStr">
        <is>
          <t>VÄSTRA GÖTALANDS LÄN</t>
        </is>
      </c>
      <c r="E937" t="inlineStr">
        <is>
          <t>SKARA</t>
        </is>
      </c>
      <c r="G937" t="n">
        <v>2.4</v>
      </c>
      <c r="H937" t="n">
        <v>0</v>
      </c>
      <c r="I937" t="n">
        <v>0</v>
      </c>
      <c r="J937" t="n">
        <v>0</v>
      </c>
      <c r="K937" t="n">
        <v>0</v>
      </c>
      <c r="L937" t="n">
        <v>0</v>
      </c>
      <c r="M937" t="n">
        <v>0</v>
      </c>
      <c r="N937" t="n">
        <v>0</v>
      </c>
      <c r="O937" t="n">
        <v>0</v>
      </c>
      <c r="P937" t="n">
        <v>0</v>
      </c>
      <c r="Q937" t="n">
        <v>0</v>
      </c>
      <c r="R937" s="2" t="inlineStr"/>
    </row>
    <row r="938" ht="15" customHeight="1">
      <c r="A938" t="inlineStr">
        <is>
          <t>A 62717-2018</t>
        </is>
      </c>
      <c r="B938" s="1" t="n">
        <v>43413</v>
      </c>
      <c r="C938" s="1" t="n">
        <v>45227</v>
      </c>
      <c r="D938" t="inlineStr">
        <is>
          <t>VÄSTRA GÖTALANDS LÄN</t>
        </is>
      </c>
      <c r="E938" t="inlineStr">
        <is>
          <t>SVENLJUNGA</t>
        </is>
      </c>
      <c r="G938" t="n">
        <v>1.1</v>
      </c>
      <c r="H938" t="n">
        <v>0</v>
      </c>
      <c r="I938" t="n">
        <v>0</v>
      </c>
      <c r="J938" t="n">
        <v>0</v>
      </c>
      <c r="K938" t="n">
        <v>0</v>
      </c>
      <c r="L938" t="n">
        <v>0</v>
      </c>
      <c r="M938" t="n">
        <v>0</v>
      </c>
      <c r="N938" t="n">
        <v>0</v>
      </c>
      <c r="O938" t="n">
        <v>0</v>
      </c>
      <c r="P938" t="n">
        <v>0</v>
      </c>
      <c r="Q938" t="n">
        <v>0</v>
      </c>
      <c r="R938" s="2" t="inlineStr"/>
    </row>
    <row r="939" ht="15" customHeight="1">
      <c r="A939" t="inlineStr">
        <is>
          <t>A 62739-2018</t>
        </is>
      </c>
      <c r="B939" s="1" t="n">
        <v>43413</v>
      </c>
      <c r="C939" s="1" t="n">
        <v>45227</v>
      </c>
      <c r="D939" t="inlineStr">
        <is>
          <t>VÄSTRA GÖTALANDS LÄN</t>
        </is>
      </c>
      <c r="E939" t="inlineStr">
        <is>
          <t>SVENLJUNGA</t>
        </is>
      </c>
      <c r="G939" t="n">
        <v>5.9</v>
      </c>
      <c r="H939" t="n">
        <v>0</v>
      </c>
      <c r="I939" t="n">
        <v>0</v>
      </c>
      <c r="J939" t="n">
        <v>0</v>
      </c>
      <c r="K939" t="n">
        <v>0</v>
      </c>
      <c r="L939" t="n">
        <v>0</v>
      </c>
      <c r="M939" t="n">
        <v>0</v>
      </c>
      <c r="N939" t="n">
        <v>0</v>
      </c>
      <c r="O939" t="n">
        <v>0</v>
      </c>
      <c r="P939" t="n">
        <v>0</v>
      </c>
      <c r="Q939" t="n">
        <v>0</v>
      </c>
      <c r="R939" s="2" t="inlineStr"/>
    </row>
    <row r="940" ht="15" customHeight="1">
      <c r="A940" t="inlineStr">
        <is>
          <t>A 61946-2018</t>
        </is>
      </c>
      <c r="B940" s="1" t="n">
        <v>43413</v>
      </c>
      <c r="C940" s="1" t="n">
        <v>45227</v>
      </c>
      <c r="D940" t="inlineStr">
        <is>
          <t>VÄSTRA GÖTALANDS LÄN</t>
        </is>
      </c>
      <c r="E940" t="inlineStr">
        <is>
          <t>KARLSBORG</t>
        </is>
      </c>
      <c r="G940" t="n">
        <v>2</v>
      </c>
      <c r="H940" t="n">
        <v>0</v>
      </c>
      <c r="I940" t="n">
        <v>0</v>
      </c>
      <c r="J940" t="n">
        <v>0</v>
      </c>
      <c r="K940" t="n">
        <v>0</v>
      </c>
      <c r="L940" t="n">
        <v>0</v>
      </c>
      <c r="M940" t="n">
        <v>0</v>
      </c>
      <c r="N940" t="n">
        <v>0</v>
      </c>
      <c r="O940" t="n">
        <v>0</v>
      </c>
      <c r="P940" t="n">
        <v>0</v>
      </c>
      <c r="Q940" t="n">
        <v>0</v>
      </c>
      <c r="R940" s="2" t="inlineStr"/>
    </row>
    <row r="941" ht="15" customHeight="1">
      <c r="A941" t="inlineStr">
        <is>
          <t>A 60269-2018</t>
        </is>
      </c>
      <c r="B941" s="1" t="n">
        <v>43413</v>
      </c>
      <c r="C941" s="1" t="n">
        <v>45227</v>
      </c>
      <c r="D941" t="inlineStr">
        <is>
          <t>VÄSTRA GÖTALANDS LÄN</t>
        </is>
      </c>
      <c r="E941" t="inlineStr">
        <is>
          <t>MARIESTAD</t>
        </is>
      </c>
      <c r="G941" t="n">
        <v>2.6</v>
      </c>
      <c r="H941" t="n">
        <v>0</v>
      </c>
      <c r="I941" t="n">
        <v>0</v>
      </c>
      <c r="J941" t="n">
        <v>0</v>
      </c>
      <c r="K941" t="n">
        <v>0</v>
      </c>
      <c r="L941" t="n">
        <v>0</v>
      </c>
      <c r="M941" t="n">
        <v>0</v>
      </c>
      <c r="N941" t="n">
        <v>0</v>
      </c>
      <c r="O941" t="n">
        <v>0</v>
      </c>
      <c r="P941" t="n">
        <v>0</v>
      </c>
      <c r="Q941" t="n">
        <v>0</v>
      </c>
      <c r="R941" s="2" t="inlineStr"/>
    </row>
    <row r="942" ht="15" customHeight="1">
      <c r="A942" t="inlineStr">
        <is>
          <t>A 62714-2018</t>
        </is>
      </c>
      <c r="B942" s="1" t="n">
        <v>43413</v>
      </c>
      <c r="C942" s="1" t="n">
        <v>45227</v>
      </c>
      <c r="D942" t="inlineStr">
        <is>
          <t>VÄSTRA GÖTALANDS LÄN</t>
        </is>
      </c>
      <c r="E942" t="inlineStr">
        <is>
          <t>SVENLJUNGA</t>
        </is>
      </c>
      <c r="G942" t="n">
        <v>1.5</v>
      </c>
      <c r="H942" t="n">
        <v>0</v>
      </c>
      <c r="I942" t="n">
        <v>0</v>
      </c>
      <c r="J942" t="n">
        <v>0</v>
      </c>
      <c r="K942" t="n">
        <v>0</v>
      </c>
      <c r="L942" t="n">
        <v>0</v>
      </c>
      <c r="M942" t="n">
        <v>0</v>
      </c>
      <c r="N942" t="n">
        <v>0</v>
      </c>
      <c r="O942" t="n">
        <v>0</v>
      </c>
      <c r="P942" t="n">
        <v>0</v>
      </c>
      <c r="Q942" t="n">
        <v>0</v>
      </c>
      <c r="R942" s="2" t="inlineStr"/>
    </row>
    <row r="943" ht="15" customHeight="1">
      <c r="A943" t="inlineStr">
        <is>
          <t>A 61516-2018</t>
        </is>
      </c>
      <c r="B943" s="1" t="n">
        <v>43413</v>
      </c>
      <c r="C943" s="1" t="n">
        <v>45227</v>
      </c>
      <c r="D943" t="inlineStr">
        <is>
          <t>VÄSTRA GÖTALANDS LÄN</t>
        </is>
      </c>
      <c r="E943" t="inlineStr">
        <is>
          <t>VÄNERSBORG</t>
        </is>
      </c>
      <c r="G943" t="n">
        <v>3.3</v>
      </c>
      <c r="H943" t="n">
        <v>0</v>
      </c>
      <c r="I943" t="n">
        <v>0</v>
      </c>
      <c r="J943" t="n">
        <v>0</v>
      </c>
      <c r="K943" t="n">
        <v>0</v>
      </c>
      <c r="L943" t="n">
        <v>0</v>
      </c>
      <c r="M943" t="n">
        <v>0</v>
      </c>
      <c r="N943" t="n">
        <v>0</v>
      </c>
      <c r="O943" t="n">
        <v>0</v>
      </c>
      <c r="P943" t="n">
        <v>0</v>
      </c>
      <c r="Q943" t="n">
        <v>0</v>
      </c>
      <c r="R943" s="2" t="inlineStr"/>
    </row>
    <row r="944" ht="15" customHeight="1">
      <c r="A944" t="inlineStr">
        <is>
          <t>A 61944-2018</t>
        </is>
      </c>
      <c r="B944" s="1" t="n">
        <v>43413</v>
      </c>
      <c r="C944" s="1" t="n">
        <v>45227</v>
      </c>
      <c r="D944" t="inlineStr">
        <is>
          <t>VÄSTRA GÖTALANDS LÄN</t>
        </is>
      </c>
      <c r="E944" t="inlineStr">
        <is>
          <t>BORÅS</t>
        </is>
      </c>
      <c r="G944" t="n">
        <v>1</v>
      </c>
      <c r="H944" t="n">
        <v>0</v>
      </c>
      <c r="I944" t="n">
        <v>0</v>
      </c>
      <c r="J944" t="n">
        <v>0</v>
      </c>
      <c r="K944" t="n">
        <v>0</v>
      </c>
      <c r="L944" t="n">
        <v>0</v>
      </c>
      <c r="M944" t="n">
        <v>0</v>
      </c>
      <c r="N944" t="n">
        <v>0</v>
      </c>
      <c r="O944" t="n">
        <v>0</v>
      </c>
      <c r="P944" t="n">
        <v>0</v>
      </c>
      <c r="Q944" t="n">
        <v>0</v>
      </c>
      <c r="R944" s="2" t="inlineStr"/>
    </row>
    <row r="945" ht="15" customHeight="1">
      <c r="A945" t="inlineStr">
        <is>
          <t>A 62490-2018</t>
        </is>
      </c>
      <c r="B945" s="1" t="n">
        <v>43415</v>
      </c>
      <c r="C945" s="1" t="n">
        <v>45227</v>
      </c>
      <c r="D945" t="inlineStr">
        <is>
          <t>VÄSTRA GÖTALANDS LÄN</t>
        </is>
      </c>
      <c r="E945" t="inlineStr">
        <is>
          <t>LILLA EDET</t>
        </is>
      </c>
      <c r="G945" t="n">
        <v>5.7</v>
      </c>
      <c r="H945" t="n">
        <v>0</v>
      </c>
      <c r="I945" t="n">
        <v>0</v>
      </c>
      <c r="J945" t="n">
        <v>0</v>
      </c>
      <c r="K945" t="n">
        <v>0</v>
      </c>
      <c r="L945" t="n">
        <v>0</v>
      </c>
      <c r="M945" t="n">
        <v>0</v>
      </c>
      <c r="N945" t="n">
        <v>0</v>
      </c>
      <c r="O945" t="n">
        <v>0</v>
      </c>
      <c r="P945" t="n">
        <v>0</v>
      </c>
      <c r="Q945" t="n">
        <v>0</v>
      </c>
      <c r="R945" s="2" t="inlineStr"/>
    </row>
    <row r="946" ht="15" customHeight="1">
      <c r="A946" t="inlineStr">
        <is>
          <t>A 62602-2018</t>
        </is>
      </c>
      <c r="B946" s="1" t="n">
        <v>43415</v>
      </c>
      <c r="C946" s="1" t="n">
        <v>45227</v>
      </c>
      <c r="D946" t="inlineStr">
        <is>
          <t>VÄSTRA GÖTALANDS LÄN</t>
        </is>
      </c>
      <c r="E946" t="inlineStr">
        <is>
          <t>STRÖMSTAD</t>
        </is>
      </c>
      <c r="G946" t="n">
        <v>2.1</v>
      </c>
      <c r="H946" t="n">
        <v>0</v>
      </c>
      <c r="I946" t="n">
        <v>0</v>
      </c>
      <c r="J946" t="n">
        <v>0</v>
      </c>
      <c r="K946" t="n">
        <v>0</v>
      </c>
      <c r="L946" t="n">
        <v>0</v>
      </c>
      <c r="M946" t="n">
        <v>0</v>
      </c>
      <c r="N946" t="n">
        <v>0</v>
      </c>
      <c r="O946" t="n">
        <v>0</v>
      </c>
      <c r="P946" t="n">
        <v>0</v>
      </c>
      <c r="Q946" t="n">
        <v>0</v>
      </c>
      <c r="R946" s="2" t="inlineStr"/>
    </row>
    <row r="947" ht="15" customHeight="1">
      <c r="A947" t="inlineStr">
        <is>
          <t>A 62630-2018</t>
        </is>
      </c>
      <c r="B947" s="1" t="n">
        <v>43415</v>
      </c>
      <c r="C947" s="1" t="n">
        <v>45227</v>
      </c>
      <c r="D947" t="inlineStr">
        <is>
          <t>VÄSTRA GÖTALANDS LÄN</t>
        </is>
      </c>
      <c r="E947" t="inlineStr">
        <is>
          <t>MUNKEDAL</t>
        </is>
      </c>
      <c r="G947" t="n">
        <v>1</v>
      </c>
      <c r="H947" t="n">
        <v>0</v>
      </c>
      <c r="I947" t="n">
        <v>0</v>
      </c>
      <c r="J947" t="n">
        <v>0</v>
      </c>
      <c r="K947" t="n">
        <v>0</v>
      </c>
      <c r="L947" t="n">
        <v>0</v>
      </c>
      <c r="M947" t="n">
        <v>0</v>
      </c>
      <c r="N947" t="n">
        <v>0</v>
      </c>
      <c r="O947" t="n">
        <v>0</v>
      </c>
      <c r="P947" t="n">
        <v>0</v>
      </c>
      <c r="Q947" t="n">
        <v>0</v>
      </c>
      <c r="R947" s="2" t="inlineStr"/>
    </row>
    <row r="948" ht="15" customHeight="1">
      <c r="A948" t="inlineStr">
        <is>
          <t>A 62471-2018</t>
        </is>
      </c>
      <c r="B948" s="1" t="n">
        <v>43415</v>
      </c>
      <c r="C948" s="1" t="n">
        <v>45227</v>
      </c>
      <c r="D948" t="inlineStr">
        <is>
          <t>VÄSTRA GÖTALANDS LÄN</t>
        </is>
      </c>
      <c r="E948" t="inlineStr">
        <is>
          <t>SKÖVDE</t>
        </is>
      </c>
      <c r="G948" t="n">
        <v>0.4</v>
      </c>
      <c r="H948" t="n">
        <v>0</v>
      </c>
      <c r="I948" t="n">
        <v>0</v>
      </c>
      <c r="J948" t="n">
        <v>0</v>
      </c>
      <c r="K948" t="n">
        <v>0</v>
      </c>
      <c r="L948" t="n">
        <v>0</v>
      </c>
      <c r="M948" t="n">
        <v>0</v>
      </c>
      <c r="N948" t="n">
        <v>0</v>
      </c>
      <c r="O948" t="n">
        <v>0</v>
      </c>
      <c r="P948" t="n">
        <v>0</v>
      </c>
      <c r="Q948" t="n">
        <v>0</v>
      </c>
      <c r="R948" s="2" t="inlineStr"/>
    </row>
    <row r="949" ht="15" customHeight="1">
      <c r="A949" t="inlineStr">
        <is>
          <t>A 62595-2018</t>
        </is>
      </c>
      <c r="B949" s="1" t="n">
        <v>43415</v>
      </c>
      <c r="C949" s="1" t="n">
        <v>45227</v>
      </c>
      <c r="D949" t="inlineStr">
        <is>
          <t>VÄSTRA GÖTALANDS LÄN</t>
        </is>
      </c>
      <c r="E949" t="inlineStr">
        <is>
          <t>STRÖMSTAD</t>
        </is>
      </c>
      <c r="G949" t="n">
        <v>1.4</v>
      </c>
      <c r="H949" t="n">
        <v>0</v>
      </c>
      <c r="I949" t="n">
        <v>0</v>
      </c>
      <c r="J949" t="n">
        <v>0</v>
      </c>
      <c r="K949" t="n">
        <v>0</v>
      </c>
      <c r="L949" t="n">
        <v>0</v>
      </c>
      <c r="M949" t="n">
        <v>0</v>
      </c>
      <c r="N949" t="n">
        <v>0</v>
      </c>
      <c r="O949" t="n">
        <v>0</v>
      </c>
      <c r="P949" t="n">
        <v>0</v>
      </c>
      <c r="Q949" t="n">
        <v>0</v>
      </c>
      <c r="R949" s="2" t="inlineStr"/>
    </row>
    <row r="950" ht="15" customHeight="1">
      <c r="A950" t="inlineStr">
        <is>
          <t>A 63333-2018</t>
        </is>
      </c>
      <c r="B950" s="1" t="n">
        <v>43416</v>
      </c>
      <c r="C950" s="1" t="n">
        <v>45227</v>
      </c>
      <c r="D950" t="inlineStr">
        <is>
          <t>VÄSTRA GÖTALANDS LÄN</t>
        </is>
      </c>
      <c r="E950" t="inlineStr">
        <is>
          <t>STENUNGSUND</t>
        </is>
      </c>
      <c r="G950" t="n">
        <v>2.7</v>
      </c>
      <c r="H950" t="n">
        <v>0</v>
      </c>
      <c r="I950" t="n">
        <v>0</v>
      </c>
      <c r="J950" t="n">
        <v>0</v>
      </c>
      <c r="K950" t="n">
        <v>0</v>
      </c>
      <c r="L950" t="n">
        <v>0</v>
      </c>
      <c r="M950" t="n">
        <v>0</v>
      </c>
      <c r="N950" t="n">
        <v>0</v>
      </c>
      <c r="O950" t="n">
        <v>0</v>
      </c>
      <c r="P950" t="n">
        <v>0</v>
      </c>
      <c r="Q950" t="n">
        <v>0</v>
      </c>
      <c r="R950" s="2" t="inlineStr"/>
    </row>
    <row r="951" ht="15" customHeight="1">
      <c r="A951" t="inlineStr">
        <is>
          <t>A 63545-2018</t>
        </is>
      </c>
      <c r="B951" s="1" t="n">
        <v>43416</v>
      </c>
      <c r="C951" s="1" t="n">
        <v>45227</v>
      </c>
      <c r="D951" t="inlineStr">
        <is>
          <t>VÄSTRA GÖTALANDS LÄN</t>
        </is>
      </c>
      <c r="E951" t="inlineStr">
        <is>
          <t>VARA</t>
        </is>
      </c>
      <c r="G951" t="n">
        <v>1.4</v>
      </c>
      <c r="H951" t="n">
        <v>0</v>
      </c>
      <c r="I951" t="n">
        <v>0</v>
      </c>
      <c r="J951" t="n">
        <v>0</v>
      </c>
      <c r="K951" t="n">
        <v>0</v>
      </c>
      <c r="L951" t="n">
        <v>0</v>
      </c>
      <c r="M951" t="n">
        <v>0</v>
      </c>
      <c r="N951" t="n">
        <v>0</v>
      </c>
      <c r="O951" t="n">
        <v>0</v>
      </c>
      <c r="P951" t="n">
        <v>0</v>
      </c>
      <c r="Q951" t="n">
        <v>0</v>
      </c>
      <c r="R951" s="2" t="inlineStr"/>
    </row>
    <row r="952" ht="15" customHeight="1">
      <c r="A952" t="inlineStr">
        <is>
          <t>A 63300-2018</t>
        </is>
      </c>
      <c r="B952" s="1" t="n">
        <v>43416</v>
      </c>
      <c r="C952" s="1" t="n">
        <v>45227</v>
      </c>
      <c r="D952" t="inlineStr">
        <is>
          <t>VÄSTRA GÖTALANDS LÄN</t>
        </is>
      </c>
      <c r="E952" t="inlineStr">
        <is>
          <t>STRÖMSTAD</t>
        </is>
      </c>
      <c r="G952" t="n">
        <v>6</v>
      </c>
      <c r="H952" t="n">
        <v>0</v>
      </c>
      <c r="I952" t="n">
        <v>0</v>
      </c>
      <c r="J952" t="n">
        <v>0</v>
      </c>
      <c r="K952" t="n">
        <v>0</v>
      </c>
      <c r="L952" t="n">
        <v>0</v>
      </c>
      <c r="M952" t="n">
        <v>0</v>
      </c>
      <c r="N952" t="n">
        <v>0</v>
      </c>
      <c r="O952" t="n">
        <v>0</v>
      </c>
      <c r="P952" t="n">
        <v>0</v>
      </c>
      <c r="Q952" t="n">
        <v>0</v>
      </c>
      <c r="R952" s="2" t="inlineStr"/>
    </row>
    <row r="953" ht="15" customHeight="1">
      <c r="A953" t="inlineStr">
        <is>
          <t>A 63421-2018</t>
        </is>
      </c>
      <c r="B953" s="1" t="n">
        <v>43416</v>
      </c>
      <c r="C953" s="1" t="n">
        <v>45227</v>
      </c>
      <c r="D953" t="inlineStr">
        <is>
          <t>VÄSTRA GÖTALANDS LÄN</t>
        </is>
      </c>
      <c r="E953" t="inlineStr">
        <is>
          <t>MUNKEDAL</t>
        </is>
      </c>
      <c r="F953" t="inlineStr">
        <is>
          <t>Övriga Aktiebolag</t>
        </is>
      </c>
      <c r="G953" t="n">
        <v>1.2</v>
      </c>
      <c r="H953" t="n">
        <v>0</v>
      </c>
      <c r="I953" t="n">
        <v>0</v>
      </c>
      <c r="J953" t="n">
        <v>0</v>
      </c>
      <c r="K953" t="n">
        <v>0</v>
      </c>
      <c r="L953" t="n">
        <v>0</v>
      </c>
      <c r="M953" t="n">
        <v>0</v>
      </c>
      <c r="N953" t="n">
        <v>0</v>
      </c>
      <c r="O953" t="n">
        <v>0</v>
      </c>
      <c r="P953" t="n">
        <v>0</v>
      </c>
      <c r="Q953" t="n">
        <v>0</v>
      </c>
      <c r="R953" s="2" t="inlineStr"/>
    </row>
    <row r="954" ht="15" customHeight="1">
      <c r="A954" t="inlineStr">
        <is>
          <t>A 62028-2018</t>
        </is>
      </c>
      <c r="B954" s="1" t="n">
        <v>43416</v>
      </c>
      <c r="C954" s="1" t="n">
        <v>45227</v>
      </c>
      <c r="D954" t="inlineStr">
        <is>
          <t>VÄSTRA GÖTALANDS LÄN</t>
        </is>
      </c>
      <c r="E954" t="inlineStr">
        <is>
          <t>GÖTENE</t>
        </is>
      </c>
      <c r="G954" t="n">
        <v>3.3</v>
      </c>
      <c r="H954" t="n">
        <v>0</v>
      </c>
      <c r="I954" t="n">
        <v>0</v>
      </c>
      <c r="J954" t="n">
        <v>0</v>
      </c>
      <c r="K954" t="n">
        <v>0</v>
      </c>
      <c r="L954" t="n">
        <v>0</v>
      </c>
      <c r="M954" t="n">
        <v>0</v>
      </c>
      <c r="N954" t="n">
        <v>0</v>
      </c>
      <c r="O954" t="n">
        <v>0</v>
      </c>
      <c r="P954" t="n">
        <v>0</v>
      </c>
      <c r="Q954" t="n">
        <v>0</v>
      </c>
      <c r="R954" s="2" t="inlineStr"/>
    </row>
    <row r="955" ht="15" customHeight="1">
      <c r="A955" t="inlineStr">
        <is>
          <t>A 63579-2018</t>
        </is>
      </c>
      <c r="B955" s="1" t="n">
        <v>43416</v>
      </c>
      <c r="C955" s="1" t="n">
        <v>45227</v>
      </c>
      <c r="D955" t="inlineStr">
        <is>
          <t>VÄSTRA GÖTALANDS LÄN</t>
        </is>
      </c>
      <c r="E955" t="inlineStr">
        <is>
          <t>TANUM</t>
        </is>
      </c>
      <c r="G955" t="n">
        <v>3.5</v>
      </c>
      <c r="H955" t="n">
        <v>0</v>
      </c>
      <c r="I955" t="n">
        <v>0</v>
      </c>
      <c r="J955" t="n">
        <v>0</v>
      </c>
      <c r="K955" t="n">
        <v>0</v>
      </c>
      <c r="L955" t="n">
        <v>0</v>
      </c>
      <c r="M955" t="n">
        <v>0</v>
      </c>
      <c r="N955" t="n">
        <v>0</v>
      </c>
      <c r="O955" t="n">
        <v>0</v>
      </c>
      <c r="P955" t="n">
        <v>0</v>
      </c>
      <c r="Q955" t="n">
        <v>0</v>
      </c>
      <c r="R955" s="2" t="inlineStr"/>
    </row>
    <row r="956" ht="15" customHeight="1">
      <c r="A956" t="inlineStr">
        <is>
          <t>A 62340-2018</t>
        </is>
      </c>
      <c r="B956" s="1" t="n">
        <v>43416</v>
      </c>
      <c r="C956" s="1" t="n">
        <v>45227</v>
      </c>
      <c r="D956" t="inlineStr">
        <is>
          <t>VÄSTRA GÖTALANDS LÄN</t>
        </is>
      </c>
      <c r="E956" t="inlineStr">
        <is>
          <t>LERUM</t>
        </is>
      </c>
      <c r="G956" t="n">
        <v>1.3</v>
      </c>
      <c r="H956" t="n">
        <v>0</v>
      </c>
      <c r="I956" t="n">
        <v>0</v>
      </c>
      <c r="J956" t="n">
        <v>0</v>
      </c>
      <c r="K956" t="n">
        <v>0</v>
      </c>
      <c r="L956" t="n">
        <v>0</v>
      </c>
      <c r="M956" t="n">
        <v>0</v>
      </c>
      <c r="N956" t="n">
        <v>0</v>
      </c>
      <c r="O956" t="n">
        <v>0</v>
      </c>
      <c r="P956" t="n">
        <v>0</v>
      </c>
      <c r="Q956" t="n">
        <v>0</v>
      </c>
      <c r="R956" s="2" t="inlineStr"/>
    </row>
    <row r="957" ht="15" customHeight="1">
      <c r="A957" t="inlineStr">
        <is>
          <t>A 62406-2018</t>
        </is>
      </c>
      <c r="B957" s="1" t="n">
        <v>43416</v>
      </c>
      <c r="C957" s="1" t="n">
        <v>45227</v>
      </c>
      <c r="D957" t="inlineStr">
        <is>
          <t>VÄSTRA GÖTALANDS LÄN</t>
        </is>
      </c>
      <c r="E957" t="inlineStr">
        <is>
          <t>FÄRGELANDA</t>
        </is>
      </c>
      <c r="G957" t="n">
        <v>1</v>
      </c>
      <c r="H957" t="n">
        <v>0</v>
      </c>
      <c r="I957" t="n">
        <v>0</v>
      </c>
      <c r="J957" t="n">
        <v>0</v>
      </c>
      <c r="K957" t="n">
        <v>0</v>
      </c>
      <c r="L957" t="n">
        <v>0</v>
      </c>
      <c r="M957" t="n">
        <v>0</v>
      </c>
      <c r="N957" t="n">
        <v>0</v>
      </c>
      <c r="O957" t="n">
        <v>0</v>
      </c>
      <c r="P957" t="n">
        <v>0</v>
      </c>
      <c r="Q957" t="n">
        <v>0</v>
      </c>
      <c r="R957" s="2" t="inlineStr"/>
    </row>
    <row r="958" ht="15" customHeight="1">
      <c r="A958" t="inlineStr">
        <is>
          <t>A 59152-2018</t>
        </is>
      </c>
      <c r="B958" s="1" t="n">
        <v>43417</v>
      </c>
      <c r="C958" s="1" t="n">
        <v>45227</v>
      </c>
      <c r="D958" t="inlineStr">
        <is>
          <t>VÄSTRA GÖTALANDS LÄN</t>
        </is>
      </c>
      <c r="E958" t="inlineStr">
        <is>
          <t>STRÖMSTAD</t>
        </is>
      </c>
      <c r="G958" t="n">
        <v>2.7</v>
      </c>
      <c r="H958" t="n">
        <v>0</v>
      </c>
      <c r="I958" t="n">
        <v>0</v>
      </c>
      <c r="J958" t="n">
        <v>0</v>
      </c>
      <c r="K958" t="n">
        <v>0</v>
      </c>
      <c r="L958" t="n">
        <v>0</v>
      </c>
      <c r="M958" t="n">
        <v>0</v>
      </c>
      <c r="N958" t="n">
        <v>0</v>
      </c>
      <c r="O958" t="n">
        <v>0</v>
      </c>
      <c r="P958" t="n">
        <v>0</v>
      </c>
      <c r="Q958" t="n">
        <v>0</v>
      </c>
      <c r="R958" s="2" t="inlineStr"/>
    </row>
    <row r="959" ht="15" customHeight="1">
      <c r="A959" t="inlineStr">
        <is>
          <t>A 61955-2018</t>
        </is>
      </c>
      <c r="B959" s="1" t="n">
        <v>43417</v>
      </c>
      <c r="C959" s="1" t="n">
        <v>45227</v>
      </c>
      <c r="D959" t="inlineStr">
        <is>
          <t>VÄSTRA GÖTALANDS LÄN</t>
        </is>
      </c>
      <c r="E959" t="inlineStr">
        <is>
          <t>ALINGSÅS</t>
        </is>
      </c>
      <c r="G959" t="n">
        <v>4.7</v>
      </c>
      <c r="H959" t="n">
        <v>0</v>
      </c>
      <c r="I959" t="n">
        <v>0</v>
      </c>
      <c r="J959" t="n">
        <v>0</v>
      </c>
      <c r="K959" t="n">
        <v>0</v>
      </c>
      <c r="L959" t="n">
        <v>0</v>
      </c>
      <c r="M959" t="n">
        <v>0</v>
      </c>
      <c r="N959" t="n">
        <v>0</v>
      </c>
      <c r="O959" t="n">
        <v>0</v>
      </c>
      <c r="P959" t="n">
        <v>0</v>
      </c>
      <c r="Q959" t="n">
        <v>0</v>
      </c>
      <c r="R959" s="2" t="inlineStr"/>
    </row>
    <row r="960" ht="15" customHeight="1">
      <c r="A960" t="inlineStr">
        <is>
          <t>A 62820-2018</t>
        </is>
      </c>
      <c r="B960" s="1" t="n">
        <v>43417</v>
      </c>
      <c r="C960" s="1" t="n">
        <v>45227</v>
      </c>
      <c r="D960" t="inlineStr">
        <is>
          <t>VÄSTRA GÖTALANDS LÄN</t>
        </is>
      </c>
      <c r="E960" t="inlineStr">
        <is>
          <t>DALS-ED</t>
        </is>
      </c>
      <c r="G960" t="n">
        <v>1.8</v>
      </c>
      <c r="H960" t="n">
        <v>0</v>
      </c>
      <c r="I960" t="n">
        <v>0</v>
      </c>
      <c r="J960" t="n">
        <v>0</v>
      </c>
      <c r="K960" t="n">
        <v>0</v>
      </c>
      <c r="L960" t="n">
        <v>0</v>
      </c>
      <c r="M960" t="n">
        <v>0</v>
      </c>
      <c r="N960" t="n">
        <v>0</v>
      </c>
      <c r="O960" t="n">
        <v>0</v>
      </c>
      <c r="P960" t="n">
        <v>0</v>
      </c>
      <c r="Q960" t="n">
        <v>0</v>
      </c>
      <c r="R960" s="2" t="inlineStr"/>
    </row>
    <row r="961" ht="15" customHeight="1">
      <c r="A961" t="inlineStr">
        <is>
          <t>A 62819-2018</t>
        </is>
      </c>
      <c r="B961" s="1" t="n">
        <v>43417</v>
      </c>
      <c r="C961" s="1" t="n">
        <v>45227</v>
      </c>
      <c r="D961" t="inlineStr">
        <is>
          <t>VÄSTRA GÖTALANDS LÄN</t>
        </is>
      </c>
      <c r="E961" t="inlineStr">
        <is>
          <t>MARK</t>
        </is>
      </c>
      <c r="G961" t="n">
        <v>9.199999999999999</v>
      </c>
      <c r="H961" t="n">
        <v>0</v>
      </c>
      <c r="I961" t="n">
        <v>0</v>
      </c>
      <c r="J961" t="n">
        <v>0</v>
      </c>
      <c r="K961" t="n">
        <v>0</v>
      </c>
      <c r="L961" t="n">
        <v>0</v>
      </c>
      <c r="M961" t="n">
        <v>0</v>
      </c>
      <c r="N961" t="n">
        <v>0</v>
      </c>
      <c r="O961" t="n">
        <v>0</v>
      </c>
      <c r="P961" t="n">
        <v>0</v>
      </c>
      <c r="Q961" t="n">
        <v>0</v>
      </c>
      <c r="R961" s="2" t="inlineStr"/>
    </row>
    <row r="962" ht="15" customHeight="1">
      <c r="A962" t="inlineStr">
        <is>
          <t>A 62832-2018</t>
        </is>
      </c>
      <c r="B962" s="1" t="n">
        <v>43417</v>
      </c>
      <c r="C962" s="1" t="n">
        <v>45227</v>
      </c>
      <c r="D962" t="inlineStr">
        <is>
          <t>VÄSTRA GÖTALANDS LÄN</t>
        </is>
      </c>
      <c r="E962" t="inlineStr">
        <is>
          <t>ULRICEHAMN</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63705-2018</t>
        </is>
      </c>
      <c r="B963" s="1" t="n">
        <v>43417</v>
      </c>
      <c r="C963" s="1" t="n">
        <v>45227</v>
      </c>
      <c r="D963" t="inlineStr">
        <is>
          <t>VÄSTRA GÖTALANDS LÄN</t>
        </is>
      </c>
      <c r="E963" t="inlineStr">
        <is>
          <t>DALS-ED</t>
        </is>
      </c>
      <c r="F963" t="inlineStr">
        <is>
          <t>Bergvik skog väst AB</t>
        </is>
      </c>
      <c r="G963" t="n">
        <v>18.5</v>
      </c>
      <c r="H963" t="n">
        <v>0</v>
      </c>
      <c r="I963" t="n">
        <v>0</v>
      </c>
      <c r="J963" t="n">
        <v>0</v>
      </c>
      <c r="K963" t="n">
        <v>0</v>
      </c>
      <c r="L963" t="n">
        <v>0</v>
      </c>
      <c r="M963" t="n">
        <v>0</v>
      </c>
      <c r="N963" t="n">
        <v>0</v>
      </c>
      <c r="O963" t="n">
        <v>0</v>
      </c>
      <c r="P963" t="n">
        <v>0</v>
      </c>
      <c r="Q963" t="n">
        <v>0</v>
      </c>
      <c r="R963" s="2" t="inlineStr"/>
    </row>
    <row r="964" ht="15" customHeight="1">
      <c r="A964" t="inlineStr">
        <is>
          <t>A 62829-2018</t>
        </is>
      </c>
      <c r="B964" s="1" t="n">
        <v>43417</v>
      </c>
      <c r="C964" s="1" t="n">
        <v>45227</v>
      </c>
      <c r="D964" t="inlineStr">
        <is>
          <t>VÄSTRA GÖTALANDS LÄN</t>
        </is>
      </c>
      <c r="E964" t="inlineStr">
        <is>
          <t>ULRICEHAMN</t>
        </is>
      </c>
      <c r="F964" t="inlineStr">
        <is>
          <t>Kyrkan</t>
        </is>
      </c>
      <c r="G964" t="n">
        <v>8</v>
      </c>
      <c r="H964" t="n">
        <v>0</v>
      </c>
      <c r="I964" t="n">
        <v>0</v>
      </c>
      <c r="J964" t="n">
        <v>0</v>
      </c>
      <c r="K964" t="n">
        <v>0</v>
      </c>
      <c r="L964" t="n">
        <v>0</v>
      </c>
      <c r="M964" t="n">
        <v>0</v>
      </c>
      <c r="N964" t="n">
        <v>0</v>
      </c>
      <c r="O964" t="n">
        <v>0</v>
      </c>
      <c r="P964" t="n">
        <v>0</v>
      </c>
      <c r="Q964" t="n">
        <v>0</v>
      </c>
      <c r="R964" s="2" t="inlineStr"/>
    </row>
    <row r="965" ht="15" customHeight="1">
      <c r="A965" t="inlineStr">
        <is>
          <t>A 62960-2018</t>
        </is>
      </c>
      <c r="B965" s="1" t="n">
        <v>43417</v>
      </c>
      <c r="C965" s="1" t="n">
        <v>45227</v>
      </c>
      <c r="D965" t="inlineStr">
        <is>
          <t>VÄSTRA GÖTALANDS LÄN</t>
        </is>
      </c>
      <c r="E965" t="inlineStr">
        <is>
          <t>TRANEMO</t>
        </is>
      </c>
      <c r="G965" t="n">
        <v>1.3</v>
      </c>
      <c r="H965" t="n">
        <v>0</v>
      </c>
      <c r="I965" t="n">
        <v>0</v>
      </c>
      <c r="J965" t="n">
        <v>0</v>
      </c>
      <c r="K965" t="n">
        <v>0</v>
      </c>
      <c r="L965" t="n">
        <v>0</v>
      </c>
      <c r="M965" t="n">
        <v>0</v>
      </c>
      <c r="N965" t="n">
        <v>0</v>
      </c>
      <c r="O965" t="n">
        <v>0</v>
      </c>
      <c r="P965" t="n">
        <v>0</v>
      </c>
      <c r="Q965" t="n">
        <v>0</v>
      </c>
      <c r="R965" s="2" t="inlineStr"/>
    </row>
    <row r="966" ht="15" customHeight="1">
      <c r="A966" t="inlineStr">
        <is>
          <t>A 63591-2018</t>
        </is>
      </c>
      <c r="B966" s="1" t="n">
        <v>43417</v>
      </c>
      <c r="C966" s="1" t="n">
        <v>45227</v>
      </c>
      <c r="D966" t="inlineStr">
        <is>
          <t>VÄSTRA GÖTALANDS LÄN</t>
        </is>
      </c>
      <c r="E966" t="inlineStr">
        <is>
          <t>ULRICEHAMN</t>
        </is>
      </c>
      <c r="G966" t="n">
        <v>5.8</v>
      </c>
      <c r="H966" t="n">
        <v>0</v>
      </c>
      <c r="I966" t="n">
        <v>0</v>
      </c>
      <c r="J966" t="n">
        <v>0</v>
      </c>
      <c r="K966" t="n">
        <v>0</v>
      </c>
      <c r="L966" t="n">
        <v>0</v>
      </c>
      <c r="M966" t="n">
        <v>0</v>
      </c>
      <c r="N966" t="n">
        <v>0</v>
      </c>
      <c r="O966" t="n">
        <v>0</v>
      </c>
      <c r="P966" t="n">
        <v>0</v>
      </c>
      <c r="Q966" t="n">
        <v>0</v>
      </c>
      <c r="R966" s="2" t="inlineStr"/>
    </row>
    <row r="967" ht="15" customHeight="1">
      <c r="A967" t="inlineStr">
        <is>
          <t>A 63703-2018</t>
        </is>
      </c>
      <c r="B967" s="1" t="n">
        <v>43417</v>
      </c>
      <c r="C967" s="1" t="n">
        <v>45227</v>
      </c>
      <c r="D967" t="inlineStr">
        <is>
          <t>VÄSTRA GÖTALANDS LÄN</t>
        </is>
      </c>
      <c r="E967" t="inlineStr">
        <is>
          <t>DALS-ED</t>
        </is>
      </c>
      <c r="F967" t="inlineStr">
        <is>
          <t>Bergvik skog väst AB</t>
        </is>
      </c>
      <c r="G967" t="n">
        <v>13</v>
      </c>
      <c r="H967" t="n">
        <v>0</v>
      </c>
      <c r="I967" t="n">
        <v>0</v>
      </c>
      <c r="J967" t="n">
        <v>0</v>
      </c>
      <c r="K967" t="n">
        <v>0</v>
      </c>
      <c r="L967" t="n">
        <v>0</v>
      </c>
      <c r="M967" t="n">
        <v>0</v>
      </c>
      <c r="N967" t="n">
        <v>0</v>
      </c>
      <c r="O967" t="n">
        <v>0</v>
      </c>
      <c r="P967" t="n">
        <v>0</v>
      </c>
      <c r="Q967" t="n">
        <v>0</v>
      </c>
      <c r="R967" s="2" t="inlineStr"/>
    </row>
    <row r="968" ht="15" customHeight="1">
      <c r="A968" t="inlineStr">
        <is>
          <t>A 59338-2018</t>
        </is>
      </c>
      <c r="B968" s="1" t="n">
        <v>43418</v>
      </c>
      <c r="C968" s="1" t="n">
        <v>45227</v>
      </c>
      <c r="D968" t="inlineStr">
        <is>
          <t>VÄSTRA GÖTALANDS LÄN</t>
        </is>
      </c>
      <c r="E968" t="inlineStr">
        <is>
          <t>TRANEMO</t>
        </is>
      </c>
      <c r="G968" t="n">
        <v>4.2</v>
      </c>
      <c r="H968" t="n">
        <v>0</v>
      </c>
      <c r="I968" t="n">
        <v>0</v>
      </c>
      <c r="J968" t="n">
        <v>0</v>
      </c>
      <c r="K968" t="n">
        <v>0</v>
      </c>
      <c r="L968" t="n">
        <v>0</v>
      </c>
      <c r="M968" t="n">
        <v>0</v>
      </c>
      <c r="N968" t="n">
        <v>0</v>
      </c>
      <c r="O968" t="n">
        <v>0</v>
      </c>
      <c r="P968" t="n">
        <v>0</v>
      </c>
      <c r="Q968" t="n">
        <v>0</v>
      </c>
      <c r="R968" s="2" t="inlineStr"/>
    </row>
    <row r="969" ht="15" customHeight="1">
      <c r="A969" t="inlineStr">
        <is>
          <t>A 59342-2018</t>
        </is>
      </c>
      <c r="B969" s="1" t="n">
        <v>43418</v>
      </c>
      <c r="C969" s="1" t="n">
        <v>45227</v>
      </c>
      <c r="D969" t="inlineStr">
        <is>
          <t>VÄSTRA GÖTALANDS LÄN</t>
        </is>
      </c>
      <c r="E969" t="inlineStr">
        <is>
          <t>TRANEMO</t>
        </is>
      </c>
      <c r="G969" t="n">
        <v>7.2</v>
      </c>
      <c r="H969" t="n">
        <v>0</v>
      </c>
      <c r="I969" t="n">
        <v>0</v>
      </c>
      <c r="J969" t="n">
        <v>0</v>
      </c>
      <c r="K969" t="n">
        <v>0</v>
      </c>
      <c r="L969" t="n">
        <v>0</v>
      </c>
      <c r="M969" t="n">
        <v>0</v>
      </c>
      <c r="N969" t="n">
        <v>0</v>
      </c>
      <c r="O969" t="n">
        <v>0</v>
      </c>
      <c r="P969" t="n">
        <v>0</v>
      </c>
      <c r="Q969" t="n">
        <v>0</v>
      </c>
      <c r="R969" s="2" t="inlineStr"/>
    </row>
    <row r="970" ht="15" customHeight="1">
      <c r="A970" t="inlineStr">
        <is>
          <t>A 59395-2018</t>
        </is>
      </c>
      <c r="B970" s="1" t="n">
        <v>43418</v>
      </c>
      <c r="C970" s="1" t="n">
        <v>45227</v>
      </c>
      <c r="D970" t="inlineStr">
        <is>
          <t>VÄSTRA GÖTALANDS LÄN</t>
        </is>
      </c>
      <c r="E970" t="inlineStr">
        <is>
          <t>ULRICEHAMN</t>
        </is>
      </c>
      <c r="G970" t="n">
        <v>1.1</v>
      </c>
      <c r="H970" t="n">
        <v>0</v>
      </c>
      <c r="I970" t="n">
        <v>0</v>
      </c>
      <c r="J970" t="n">
        <v>0</v>
      </c>
      <c r="K970" t="n">
        <v>0</v>
      </c>
      <c r="L970" t="n">
        <v>0</v>
      </c>
      <c r="M970" t="n">
        <v>0</v>
      </c>
      <c r="N970" t="n">
        <v>0</v>
      </c>
      <c r="O970" t="n">
        <v>0</v>
      </c>
      <c r="P970" t="n">
        <v>0</v>
      </c>
      <c r="Q970" t="n">
        <v>0</v>
      </c>
      <c r="R970" s="2" t="inlineStr"/>
    </row>
    <row r="971" ht="15" customHeight="1">
      <c r="A971" t="inlineStr">
        <is>
          <t>A 63036-2018</t>
        </is>
      </c>
      <c r="B971" s="1" t="n">
        <v>43418</v>
      </c>
      <c r="C971" s="1" t="n">
        <v>45227</v>
      </c>
      <c r="D971" t="inlineStr">
        <is>
          <t>VÄSTRA GÖTALANDS LÄN</t>
        </is>
      </c>
      <c r="E971" t="inlineStr">
        <is>
          <t>DALS-ED</t>
        </is>
      </c>
      <c r="G971" t="n">
        <v>6.4</v>
      </c>
      <c r="H971" t="n">
        <v>0</v>
      </c>
      <c r="I971" t="n">
        <v>0</v>
      </c>
      <c r="J971" t="n">
        <v>0</v>
      </c>
      <c r="K971" t="n">
        <v>0</v>
      </c>
      <c r="L971" t="n">
        <v>0</v>
      </c>
      <c r="M971" t="n">
        <v>0</v>
      </c>
      <c r="N971" t="n">
        <v>0</v>
      </c>
      <c r="O971" t="n">
        <v>0</v>
      </c>
      <c r="P971" t="n">
        <v>0</v>
      </c>
      <c r="Q971" t="n">
        <v>0</v>
      </c>
      <c r="R971" s="2" t="inlineStr"/>
    </row>
    <row r="972" ht="15" customHeight="1">
      <c r="A972" t="inlineStr">
        <is>
          <t>A 63042-2018</t>
        </is>
      </c>
      <c r="B972" s="1" t="n">
        <v>43418</v>
      </c>
      <c r="C972" s="1" t="n">
        <v>45227</v>
      </c>
      <c r="D972" t="inlineStr">
        <is>
          <t>VÄSTRA GÖTALANDS LÄN</t>
        </is>
      </c>
      <c r="E972" t="inlineStr">
        <is>
          <t>BENGTSFORS</t>
        </is>
      </c>
      <c r="G972" t="n">
        <v>1.7</v>
      </c>
      <c r="H972" t="n">
        <v>0</v>
      </c>
      <c r="I972" t="n">
        <v>0</v>
      </c>
      <c r="J972" t="n">
        <v>0</v>
      </c>
      <c r="K972" t="n">
        <v>0</v>
      </c>
      <c r="L972" t="n">
        <v>0</v>
      </c>
      <c r="M972" t="n">
        <v>0</v>
      </c>
      <c r="N972" t="n">
        <v>0</v>
      </c>
      <c r="O972" t="n">
        <v>0</v>
      </c>
      <c r="P972" t="n">
        <v>0</v>
      </c>
      <c r="Q972" t="n">
        <v>0</v>
      </c>
      <c r="R972" s="2" t="inlineStr"/>
    </row>
    <row r="973" ht="15" customHeight="1">
      <c r="A973" t="inlineStr">
        <is>
          <t>A 63063-2018</t>
        </is>
      </c>
      <c r="B973" s="1" t="n">
        <v>43418</v>
      </c>
      <c r="C973" s="1" t="n">
        <v>45227</v>
      </c>
      <c r="D973" t="inlineStr">
        <is>
          <t>VÄSTRA GÖTALANDS LÄN</t>
        </is>
      </c>
      <c r="E973" t="inlineStr">
        <is>
          <t>BORÅS</t>
        </is>
      </c>
      <c r="G973" t="n">
        <v>0.6</v>
      </c>
      <c r="H973" t="n">
        <v>0</v>
      </c>
      <c r="I973" t="n">
        <v>0</v>
      </c>
      <c r="J973" t="n">
        <v>0</v>
      </c>
      <c r="K973" t="n">
        <v>0</v>
      </c>
      <c r="L973" t="n">
        <v>0</v>
      </c>
      <c r="M973" t="n">
        <v>0</v>
      </c>
      <c r="N973" t="n">
        <v>0</v>
      </c>
      <c r="O973" t="n">
        <v>0</v>
      </c>
      <c r="P973" t="n">
        <v>0</v>
      </c>
      <c r="Q973" t="n">
        <v>0</v>
      </c>
      <c r="R973" s="2" t="inlineStr"/>
    </row>
    <row r="974" ht="15" customHeight="1">
      <c r="A974" t="inlineStr">
        <is>
          <t>A 63107-2018</t>
        </is>
      </c>
      <c r="B974" s="1" t="n">
        <v>43418</v>
      </c>
      <c r="C974" s="1" t="n">
        <v>45227</v>
      </c>
      <c r="D974" t="inlineStr">
        <is>
          <t>VÄSTRA GÖTALANDS LÄN</t>
        </is>
      </c>
      <c r="E974" t="inlineStr">
        <is>
          <t>FÄRGELANDA</t>
        </is>
      </c>
      <c r="G974" t="n">
        <v>2.7</v>
      </c>
      <c r="H974" t="n">
        <v>0</v>
      </c>
      <c r="I974" t="n">
        <v>0</v>
      </c>
      <c r="J974" t="n">
        <v>0</v>
      </c>
      <c r="K974" t="n">
        <v>0</v>
      </c>
      <c r="L974" t="n">
        <v>0</v>
      </c>
      <c r="M974" t="n">
        <v>0</v>
      </c>
      <c r="N974" t="n">
        <v>0</v>
      </c>
      <c r="O974" t="n">
        <v>0</v>
      </c>
      <c r="P974" t="n">
        <v>0</v>
      </c>
      <c r="Q974" t="n">
        <v>0</v>
      </c>
      <c r="R974" s="2" t="inlineStr"/>
    </row>
    <row r="975" ht="15" customHeight="1">
      <c r="A975" t="inlineStr">
        <is>
          <t>A 63155-2018</t>
        </is>
      </c>
      <c r="B975" s="1" t="n">
        <v>43418</v>
      </c>
      <c r="C975" s="1" t="n">
        <v>45227</v>
      </c>
      <c r="D975" t="inlineStr">
        <is>
          <t>VÄSTRA GÖTALANDS LÄN</t>
        </is>
      </c>
      <c r="E975" t="inlineStr">
        <is>
          <t>TÖREBODA</t>
        </is>
      </c>
      <c r="G975" t="n">
        <v>2.6</v>
      </c>
      <c r="H975" t="n">
        <v>0</v>
      </c>
      <c r="I975" t="n">
        <v>0</v>
      </c>
      <c r="J975" t="n">
        <v>0</v>
      </c>
      <c r="K975" t="n">
        <v>0</v>
      </c>
      <c r="L975" t="n">
        <v>0</v>
      </c>
      <c r="M975" t="n">
        <v>0</v>
      </c>
      <c r="N975" t="n">
        <v>0</v>
      </c>
      <c r="O975" t="n">
        <v>0</v>
      </c>
      <c r="P975" t="n">
        <v>0</v>
      </c>
      <c r="Q975" t="n">
        <v>0</v>
      </c>
      <c r="R975" s="2" t="inlineStr"/>
    </row>
    <row r="976" ht="15" customHeight="1">
      <c r="A976" t="inlineStr">
        <is>
          <t>A 63766-2018</t>
        </is>
      </c>
      <c r="B976" s="1" t="n">
        <v>43418</v>
      </c>
      <c r="C976" s="1" t="n">
        <v>45227</v>
      </c>
      <c r="D976" t="inlineStr">
        <is>
          <t>VÄSTRA GÖTALANDS LÄN</t>
        </is>
      </c>
      <c r="E976" t="inlineStr">
        <is>
          <t>GULLSPÅNG</t>
        </is>
      </c>
      <c r="G976" t="n">
        <v>5.1</v>
      </c>
      <c r="H976" t="n">
        <v>0</v>
      </c>
      <c r="I976" t="n">
        <v>0</v>
      </c>
      <c r="J976" t="n">
        <v>0</v>
      </c>
      <c r="K976" t="n">
        <v>0</v>
      </c>
      <c r="L976" t="n">
        <v>0</v>
      </c>
      <c r="M976" t="n">
        <v>0</v>
      </c>
      <c r="N976" t="n">
        <v>0</v>
      </c>
      <c r="O976" t="n">
        <v>0</v>
      </c>
      <c r="P976" t="n">
        <v>0</v>
      </c>
      <c r="Q976" t="n">
        <v>0</v>
      </c>
      <c r="R976" s="2" t="inlineStr"/>
    </row>
    <row r="977" ht="15" customHeight="1">
      <c r="A977" t="inlineStr">
        <is>
          <t>A 63767-2018</t>
        </is>
      </c>
      <c r="B977" s="1" t="n">
        <v>43418</v>
      </c>
      <c r="C977" s="1" t="n">
        <v>45227</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63768-2018</t>
        </is>
      </c>
      <c r="B978" s="1" t="n">
        <v>43418</v>
      </c>
      <c r="C978" s="1" t="n">
        <v>45227</v>
      </c>
      <c r="D978" t="inlineStr">
        <is>
          <t>VÄSTRA GÖTALANDS LÄN</t>
        </is>
      </c>
      <c r="E978" t="inlineStr">
        <is>
          <t>GULLSPÅNG</t>
        </is>
      </c>
      <c r="G978" t="n">
        <v>1.4</v>
      </c>
      <c r="H978" t="n">
        <v>0</v>
      </c>
      <c r="I978" t="n">
        <v>0</v>
      </c>
      <c r="J978" t="n">
        <v>0</v>
      </c>
      <c r="K978" t="n">
        <v>0</v>
      </c>
      <c r="L978" t="n">
        <v>0</v>
      </c>
      <c r="M978" t="n">
        <v>0</v>
      </c>
      <c r="N978" t="n">
        <v>0</v>
      </c>
      <c r="O978" t="n">
        <v>0</v>
      </c>
      <c r="P978" t="n">
        <v>0</v>
      </c>
      <c r="Q978" t="n">
        <v>0</v>
      </c>
      <c r="R978" s="2" t="inlineStr"/>
    </row>
    <row r="979" ht="15" customHeight="1">
      <c r="A979" t="inlineStr">
        <is>
          <t>A 63769-2018</t>
        </is>
      </c>
      <c r="B979" s="1" t="n">
        <v>43418</v>
      </c>
      <c r="C979" s="1" t="n">
        <v>45227</v>
      </c>
      <c r="D979" t="inlineStr">
        <is>
          <t>VÄSTRA GÖTALANDS LÄN</t>
        </is>
      </c>
      <c r="E979" t="inlineStr">
        <is>
          <t>GULLSPÅNG</t>
        </is>
      </c>
      <c r="G979" t="n">
        <v>3.5</v>
      </c>
      <c r="H979" t="n">
        <v>0</v>
      </c>
      <c r="I979" t="n">
        <v>0</v>
      </c>
      <c r="J979" t="n">
        <v>0</v>
      </c>
      <c r="K979" t="n">
        <v>0</v>
      </c>
      <c r="L979" t="n">
        <v>0</v>
      </c>
      <c r="M979" t="n">
        <v>0</v>
      </c>
      <c r="N979" t="n">
        <v>0</v>
      </c>
      <c r="O979" t="n">
        <v>0</v>
      </c>
      <c r="P979" t="n">
        <v>0</v>
      </c>
      <c r="Q979" t="n">
        <v>0</v>
      </c>
      <c r="R979" s="2" t="inlineStr"/>
    </row>
    <row r="980" ht="15" customHeight="1">
      <c r="A980" t="inlineStr">
        <is>
          <t>A 59442-2018</t>
        </is>
      </c>
      <c r="B980" s="1" t="n">
        <v>43419</v>
      </c>
      <c r="C980" s="1" t="n">
        <v>45227</v>
      </c>
      <c r="D980" t="inlineStr">
        <is>
          <t>VÄSTRA GÖTALANDS LÄN</t>
        </is>
      </c>
      <c r="E980" t="inlineStr">
        <is>
          <t>TÖREBODA</t>
        </is>
      </c>
      <c r="G980" t="n">
        <v>1.1</v>
      </c>
      <c r="H980" t="n">
        <v>0</v>
      </c>
      <c r="I980" t="n">
        <v>0</v>
      </c>
      <c r="J980" t="n">
        <v>0</v>
      </c>
      <c r="K980" t="n">
        <v>0</v>
      </c>
      <c r="L980" t="n">
        <v>0</v>
      </c>
      <c r="M980" t="n">
        <v>0</v>
      </c>
      <c r="N980" t="n">
        <v>0</v>
      </c>
      <c r="O980" t="n">
        <v>0</v>
      </c>
      <c r="P980" t="n">
        <v>0</v>
      </c>
      <c r="Q980" t="n">
        <v>0</v>
      </c>
      <c r="R980" s="2" t="inlineStr"/>
    </row>
    <row r="981" ht="15" customHeight="1">
      <c r="A981" t="inlineStr">
        <is>
          <t>A 59462-2018</t>
        </is>
      </c>
      <c r="B981" s="1" t="n">
        <v>43419</v>
      </c>
      <c r="C981" s="1" t="n">
        <v>45227</v>
      </c>
      <c r="D981" t="inlineStr">
        <is>
          <t>VÄSTRA GÖTALANDS LÄN</t>
        </is>
      </c>
      <c r="E981" t="inlineStr">
        <is>
          <t>DALS-ED</t>
        </is>
      </c>
      <c r="G981" t="n">
        <v>1</v>
      </c>
      <c r="H981" t="n">
        <v>0</v>
      </c>
      <c r="I981" t="n">
        <v>0</v>
      </c>
      <c r="J981" t="n">
        <v>0</v>
      </c>
      <c r="K981" t="n">
        <v>0</v>
      </c>
      <c r="L981" t="n">
        <v>0</v>
      </c>
      <c r="M981" t="n">
        <v>0</v>
      </c>
      <c r="N981" t="n">
        <v>0</v>
      </c>
      <c r="O981" t="n">
        <v>0</v>
      </c>
      <c r="P981" t="n">
        <v>0</v>
      </c>
      <c r="Q981" t="n">
        <v>0</v>
      </c>
      <c r="R981" s="2" t="inlineStr"/>
    </row>
    <row r="982" ht="15" customHeight="1">
      <c r="A982" t="inlineStr">
        <is>
          <t>A 59649-2018</t>
        </is>
      </c>
      <c r="B982" s="1" t="n">
        <v>43419</v>
      </c>
      <c r="C982" s="1" t="n">
        <v>45227</v>
      </c>
      <c r="D982" t="inlineStr">
        <is>
          <t>VÄSTRA GÖTALANDS LÄN</t>
        </is>
      </c>
      <c r="E982" t="inlineStr">
        <is>
          <t>STENUNGSUND</t>
        </is>
      </c>
      <c r="G982" t="n">
        <v>1.4</v>
      </c>
      <c r="H982" t="n">
        <v>0</v>
      </c>
      <c r="I982" t="n">
        <v>0</v>
      </c>
      <c r="J982" t="n">
        <v>0</v>
      </c>
      <c r="K982" t="n">
        <v>0</v>
      </c>
      <c r="L982" t="n">
        <v>0</v>
      </c>
      <c r="M982" t="n">
        <v>0</v>
      </c>
      <c r="N982" t="n">
        <v>0</v>
      </c>
      <c r="O982" t="n">
        <v>0</v>
      </c>
      <c r="P982" t="n">
        <v>0</v>
      </c>
      <c r="Q982" t="n">
        <v>0</v>
      </c>
      <c r="R982" s="2" t="inlineStr"/>
    </row>
    <row r="983" ht="15" customHeight="1">
      <c r="A983" t="inlineStr">
        <is>
          <t>A 59759-2018</t>
        </is>
      </c>
      <c r="B983" s="1" t="n">
        <v>43419</v>
      </c>
      <c r="C983" s="1" t="n">
        <v>45227</v>
      </c>
      <c r="D983" t="inlineStr">
        <is>
          <t>VÄSTRA GÖTALANDS LÄN</t>
        </is>
      </c>
      <c r="E983" t="inlineStr">
        <is>
          <t>BENGTSFORS</t>
        </is>
      </c>
      <c r="G983" t="n">
        <v>4.1</v>
      </c>
      <c r="H983" t="n">
        <v>0</v>
      </c>
      <c r="I983" t="n">
        <v>0</v>
      </c>
      <c r="J983" t="n">
        <v>0</v>
      </c>
      <c r="K983" t="n">
        <v>0</v>
      </c>
      <c r="L983" t="n">
        <v>0</v>
      </c>
      <c r="M983" t="n">
        <v>0</v>
      </c>
      <c r="N983" t="n">
        <v>0</v>
      </c>
      <c r="O983" t="n">
        <v>0</v>
      </c>
      <c r="P983" t="n">
        <v>0</v>
      </c>
      <c r="Q983" t="n">
        <v>0</v>
      </c>
      <c r="R983" s="2" t="inlineStr"/>
    </row>
    <row r="984" ht="15" customHeight="1">
      <c r="A984" t="inlineStr">
        <is>
          <t>A 64350-2018</t>
        </is>
      </c>
      <c r="B984" s="1" t="n">
        <v>43419</v>
      </c>
      <c r="C984" s="1" t="n">
        <v>45227</v>
      </c>
      <c r="D984" t="inlineStr">
        <is>
          <t>VÄSTRA GÖTALANDS LÄN</t>
        </is>
      </c>
      <c r="E984" t="inlineStr">
        <is>
          <t>LILLA EDET</t>
        </is>
      </c>
      <c r="F984" t="inlineStr">
        <is>
          <t>Kyrkan</t>
        </is>
      </c>
      <c r="G984" t="n">
        <v>0.7</v>
      </c>
      <c r="H984" t="n">
        <v>0</v>
      </c>
      <c r="I984" t="n">
        <v>0</v>
      </c>
      <c r="J984" t="n">
        <v>0</v>
      </c>
      <c r="K984" t="n">
        <v>0</v>
      </c>
      <c r="L984" t="n">
        <v>0</v>
      </c>
      <c r="M984" t="n">
        <v>0</v>
      </c>
      <c r="N984" t="n">
        <v>0</v>
      </c>
      <c r="O984" t="n">
        <v>0</v>
      </c>
      <c r="P984" t="n">
        <v>0</v>
      </c>
      <c r="Q984" t="n">
        <v>0</v>
      </c>
      <c r="R984" s="2" t="inlineStr"/>
    </row>
    <row r="985" ht="15" customHeight="1">
      <c r="A985" t="inlineStr">
        <is>
          <t>A 59435-2018</t>
        </is>
      </c>
      <c r="B985" s="1" t="n">
        <v>43419</v>
      </c>
      <c r="C985" s="1" t="n">
        <v>45227</v>
      </c>
      <c r="D985" t="inlineStr">
        <is>
          <t>VÄSTRA GÖTALANDS LÄN</t>
        </is>
      </c>
      <c r="E985" t="inlineStr">
        <is>
          <t>LILLA EDET</t>
        </is>
      </c>
      <c r="G985" t="n">
        <v>3.9</v>
      </c>
      <c r="H985" t="n">
        <v>0</v>
      </c>
      <c r="I985" t="n">
        <v>0</v>
      </c>
      <c r="J985" t="n">
        <v>0</v>
      </c>
      <c r="K985" t="n">
        <v>0</v>
      </c>
      <c r="L985" t="n">
        <v>0</v>
      </c>
      <c r="M985" t="n">
        <v>0</v>
      </c>
      <c r="N985" t="n">
        <v>0</v>
      </c>
      <c r="O985" t="n">
        <v>0</v>
      </c>
      <c r="P985" t="n">
        <v>0</v>
      </c>
      <c r="Q985" t="n">
        <v>0</v>
      </c>
      <c r="R985" s="2" t="inlineStr"/>
    </row>
    <row r="986" ht="15" customHeight="1">
      <c r="A986" t="inlineStr">
        <is>
          <t>A 64220-2018</t>
        </is>
      </c>
      <c r="B986" s="1" t="n">
        <v>43419</v>
      </c>
      <c r="C986" s="1" t="n">
        <v>45227</v>
      </c>
      <c r="D986" t="inlineStr">
        <is>
          <t>VÄSTRA GÖTALANDS LÄN</t>
        </is>
      </c>
      <c r="E986" t="inlineStr">
        <is>
          <t>SVENLJUNGA</t>
        </is>
      </c>
      <c r="F986" t="inlineStr">
        <is>
          <t>Kommuner</t>
        </is>
      </c>
      <c r="G986" t="n">
        <v>1.7</v>
      </c>
      <c r="H986" t="n">
        <v>0</v>
      </c>
      <c r="I986" t="n">
        <v>0</v>
      </c>
      <c r="J986" t="n">
        <v>0</v>
      </c>
      <c r="K986" t="n">
        <v>0</v>
      </c>
      <c r="L986" t="n">
        <v>0</v>
      </c>
      <c r="M986" t="n">
        <v>0</v>
      </c>
      <c r="N986" t="n">
        <v>0</v>
      </c>
      <c r="O986" t="n">
        <v>0</v>
      </c>
      <c r="P986" t="n">
        <v>0</v>
      </c>
      <c r="Q986" t="n">
        <v>0</v>
      </c>
      <c r="R986" s="2" t="inlineStr"/>
    </row>
    <row r="987" ht="15" customHeight="1">
      <c r="A987" t="inlineStr">
        <is>
          <t>A 59642-2018</t>
        </is>
      </c>
      <c r="B987" s="1" t="n">
        <v>43419</v>
      </c>
      <c r="C987" s="1" t="n">
        <v>45227</v>
      </c>
      <c r="D987" t="inlineStr">
        <is>
          <t>VÄSTRA GÖTALANDS LÄN</t>
        </is>
      </c>
      <c r="E987" t="inlineStr">
        <is>
          <t>TÖREBODA</t>
        </is>
      </c>
      <c r="F987" t="inlineStr">
        <is>
          <t>Övriga statliga verk och myndigheter</t>
        </is>
      </c>
      <c r="G987" t="n">
        <v>1.4</v>
      </c>
      <c r="H987" t="n">
        <v>0</v>
      </c>
      <c r="I987" t="n">
        <v>0</v>
      </c>
      <c r="J987" t="n">
        <v>0</v>
      </c>
      <c r="K987" t="n">
        <v>0</v>
      </c>
      <c r="L987" t="n">
        <v>0</v>
      </c>
      <c r="M987" t="n">
        <v>0</v>
      </c>
      <c r="N987" t="n">
        <v>0</v>
      </c>
      <c r="O987" t="n">
        <v>0</v>
      </c>
      <c r="P987" t="n">
        <v>0</v>
      </c>
      <c r="Q987" t="n">
        <v>0</v>
      </c>
      <c r="R987" s="2" t="inlineStr"/>
    </row>
    <row r="988" ht="15" customHeight="1">
      <c r="A988" t="inlineStr">
        <is>
          <t>A 59646-2018</t>
        </is>
      </c>
      <c r="B988" s="1" t="n">
        <v>43419</v>
      </c>
      <c r="C988" s="1" t="n">
        <v>45227</v>
      </c>
      <c r="D988" t="inlineStr">
        <is>
          <t>VÄSTRA GÖTALANDS LÄN</t>
        </is>
      </c>
      <c r="E988" t="inlineStr">
        <is>
          <t>STENUNGSUND</t>
        </is>
      </c>
      <c r="G988" t="n">
        <v>0.5</v>
      </c>
      <c r="H988" t="n">
        <v>0</v>
      </c>
      <c r="I988" t="n">
        <v>0</v>
      </c>
      <c r="J988" t="n">
        <v>0</v>
      </c>
      <c r="K988" t="n">
        <v>0</v>
      </c>
      <c r="L988" t="n">
        <v>0</v>
      </c>
      <c r="M988" t="n">
        <v>0</v>
      </c>
      <c r="N988" t="n">
        <v>0</v>
      </c>
      <c r="O988" t="n">
        <v>0</v>
      </c>
      <c r="P988" t="n">
        <v>0</v>
      </c>
      <c r="Q988" t="n">
        <v>0</v>
      </c>
      <c r="R988" s="2" t="inlineStr"/>
    </row>
    <row r="989" ht="15" customHeight="1">
      <c r="A989" t="inlineStr">
        <is>
          <t>A 61385-2018</t>
        </is>
      </c>
      <c r="B989" s="1" t="n">
        <v>43419</v>
      </c>
      <c r="C989" s="1" t="n">
        <v>45227</v>
      </c>
      <c r="D989" t="inlineStr">
        <is>
          <t>VÄSTRA GÖTALANDS LÄN</t>
        </is>
      </c>
      <c r="E989" t="inlineStr">
        <is>
          <t>BOLLEBYGD</t>
        </is>
      </c>
      <c r="G989" t="n">
        <v>1.5</v>
      </c>
      <c r="H989" t="n">
        <v>0</v>
      </c>
      <c r="I989" t="n">
        <v>0</v>
      </c>
      <c r="J989" t="n">
        <v>0</v>
      </c>
      <c r="K989" t="n">
        <v>0</v>
      </c>
      <c r="L989" t="n">
        <v>0</v>
      </c>
      <c r="M989" t="n">
        <v>0</v>
      </c>
      <c r="N989" t="n">
        <v>0</v>
      </c>
      <c r="O989" t="n">
        <v>0</v>
      </c>
      <c r="P989" t="n">
        <v>0</v>
      </c>
      <c r="Q989" t="n">
        <v>0</v>
      </c>
      <c r="R989" s="2" t="inlineStr"/>
    </row>
    <row r="990" ht="15" customHeight="1">
      <c r="A990" t="inlineStr">
        <is>
          <t>A 64346-2018</t>
        </is>
      </c>
      <c r="B990" s="1" t="n">
        <v>43419</v>
      </c>
      <c r="C990" s="1" t="n">
        <v>45227</v>
      </c>
      <c r="D990" t="inlineStr">
        <is>
          <t>VÄSTRA GÖTALANDS LÄN</t>
        </is>
      </c>
      <c r="E990" t="inlineStr">
        <is>
          <t>LIDKÖPING</t>
        </is>
      </c>
      <c r="G990" t="n">
        <v>1.2</v>
      </c>
      <c r="H990" t="n">
        <v>0</v>
      </c>
      <c r="I990" t="n">
        <v>0</v>
      </c>
      <c r="J990" t="n">
        <v>0</v>
      </c>
      <c r="K990" t="n">
        <v>0</v>
      </c>
      <c r="L990" t="n">
        <v>0</v>
      </c>
      <c r="M990" t="n">
        <v>0</v>
      </c>
      <c r="N990" t="n">
        <v>0</v>
      </c>
      <c r="O990" t="n">
        <v>0</v>
      </c>
      <c r="P990" t="n">
        <v>0</v>
      </c>
      <c r="Q990" t="n">
        <v>0</v>
      </c>
      <c r="R990" s="2" t="inlineStr"/>
    </row>
    <row r="991" ht="15" customHeight="1">
      <c r="A991" t="inlineStr">
        <is>
          <t>A 59488-2018</t>
        </is>
      </c>
      <c r="B991" s="1" t="n">
        <v>43419</v>
      </c>
      <c r="C991" s="1" t="n">
        <v>45227</v>
      </c>
      <c r="D991" t="inlineStr">
        <is>
          <t>VÄSTRA GÖTALANDS LÄN</t>
        </is>
      </c>
      <c r="E991" t="inlineStr">
        <is>
          <t>MELLERUD</t>
        </is>
      </c>
      <c r="G991" t="n">
        <v>7.6</v>
      </c>
      <c r="H991" t="n">
        <v>0</v>
      </c>
      <c r="I991" t="n">
        <v>0</v>
      </c>
      <c r="J991" t="n">
        <v>0</v>
      </c>
      <c r="K991" t="n">
        <v>0</v>
      </c>
      <c r="L991" t="n">
        <v>0</v>
      </c>
      <c r="M991" t="n">
        <v>0</v>
      </c>
      <c r="N991" t="n">
        <v>0</v>
      </c>
      <c r="O991" t="n">
        <v>0</v>
      </c>
      <c r="P991" t="n">
        <v>0</v>
      </c>
      <c r="Q991" t="n">
        <v>0</v>
      </c>
      <c r="R991" s="2" t="inlineStr"/>
    </row>
    <row r="992" ht="15" customHeight="1">
      <c r="A992" t="inlineStr">
        <is>
          <t>A 59502-2018</t>
        </is>
      </c>
      <c r="B992" s="1" t="n">
        <v>43419</v>
      </c>
      <c r="C992" s="1" t="n">
        <v>45227</v>
      </c>
      <c r="D992" t="inlineStr">
        <is>
          <t>VÄSTRA GÖTALANDS LÄN</t>
        </is>
      </c>
      <c r="E992" t="inlineStr">
        <is>
          <t>BORÅS</t>
        </is>
      </c>
      <c r="G992" t="n">
        <v>1.9</v>
      </c>
      <c r="H992" t="n">
        <v>0</v>
      </c>
      <c r="I992" t="n">
        <v>0</v>
      </c>
      <c r="J992" t="n">
        <v>0</v>
      </c>
      <c r="K992" t="n">
        <v>0</v>
      </c>
      <c r="L992" t="n">
        <v>0</v>
      </c>
      <c r="M992" t="n">
        <v>0</v>
      </c>
      <c r="N992" t="n">
        <v>0</v>
      </c>
      <c r="O992" t="n">
        <v>0</v>
      </c>
      <c r="P992" t="n">
        <v>0</v>
      </c>
      <c r="Q992" t="n">
        <v>0</v>
      </c>
      <c r="R992" s="2" t="inlineStr"/>
    </row>
    <row r="993" ht="15" customHeight="1">
      <c r="A993" t="inlineStr">
        <is>
          <t>A 59829-2018</t>
        </is>
      </c>
      <c r="B993" s="1" t="n">
        <v>43419</v>
      </c>
      <c r="C993" s="1" t="n">
        <v>45227</v>
      </c>
      <c r="D993" t="inlineStr">
        <is>
          <t>VÄSTRA GÖTALANDS LÄN</t>
        </is>
      </c>
      <c r="E993" t="inlineStr">
        <is>
          <t>TÖREBODA</t>
        </is>
      </c>
      <c r="G993" t="n">
        <v>0.2</v>
      </c>
      <c r="H993" t="n">
        <v>0</v>
      </c>
      <c r="I993" t="n">
        <v>0</v>
      </c>
      <c r="J993" t="n">
        <v>0</v>
      </c>
      <c r="K993" t="n">
        <v>0</v>
      </c>
      <c r="L993" t="n">
        <v>0</v>
      </c>
      <c r="M993" t="n">
        <v>0</v>
      </c>
      <c r="N993" t="n">
        <v>0</v>
      </c>
      <c r="O993" t="n">
        <v>0</v>
      </c>
      <c r="P993" t="n">
        <v>0</v>
      </c>
      <c r="Q993" t="n">
        <v>0</v>
      </c>
      <c r="R993" s="2" t="inlineStr"/>
    </row>
    <row r="994" ht="15" customHeight="1">
      <c r="A994" t="inlineStr">
        <is>
          <t>A 64312-2018</t>
        </is>
      </c>
      <c r="B994" s="1" t="n">
        <v>43419</v>
      </c>
      <c r="C994" s="1" t="n">
        <v>45227</v>
      </c>
      <c r="D994" t="inlineStr">
        <is>
          <t>VÄSTRA GÖTALANDS LÄN</t>
        </is>
      </c>
      <c r="E994" t="inlineStr">
        <is>
          <t>LERUM</t>
        </is>
      </c>
      <c r="G994" t="n">
        <v>3</v>
      </c>
      <c r="H994" t="n">
        <v>0</v>
      </c>
      <c r="I994" t="n">
        <v>0</v>
      </c>
      <c r="J994" t="n">
        <v>0</v>
      </c>
      <c r="K994" t="n">
        <v>0</v>
      </c>
      <c r="L994" t="n">
        <v>0</v>
      </c>
      <c r="M994" t="n">
        <v>0</v>
      </c>
      <c r="N994" t="n">
        <v>0</v>
      </c>
      <c r="O994" t="n">
        <v>0</v>
      </c>
      <c r="P994" t="n">
        <v>0</v>
      </c>
      <c r="Q994" t="n">
        <v>0</v>
      </c>
      <c r="R994" s="2" t="inlineStr"/>
    </row>
    <row r="995" ht="15" customHeight="1">
      <c r="A995" t="inlineStr">
        <is>
          <t>A 60328-2018</t>
        </is>
      </c>
      <c r="B995" s="1" t="n">
        <v>43420</v>
      </c>
      <c r="C995" s="1" t="n">
        <v>45227</v>
      </c>
      <c r="D995" t="inlineStr">
        <is>
          <t>VÄSTRA GÖTALANDS LÄN</t>
        </is>
      </c>
      <c r="E995" t="inlineStr">
        <is>
          <t>MARK</t>
        </is>
      </c>
      <c r="G995" t="n">
        <v>1</v>
      </c>
      <c r="H995" t="n">
        <v>0</v>
      </c>
      <c r="I995" t="n">
        <v>0</v>
      </c>
      <c r="J995" t="n">
        <v>0</v>
      </c>
      <c r="K995" t="n">
        <v>0</v>
      </c>
      <c r="L995" t="n">
        <v>0</v>
      </c>
      <c r="M995" t="n">
        <v>0</v>
      </c>
      <c r="N995" t="n">
        <v>0</v>
      </c>
      <c r="O995" t="n">
        <v>0</v>
      </c>
      <c r="P995" t="n">
        <v>0</v>
      </c>
      <c r="Q995" t="n">
        <v>0</v>
      </c>
      <c r="R995" s="2" t="inlineStr"/>
    </row>
    <row r="996" ht="15" customHeight="1">
      <c r="A996" t="inlineStr">
        <is>
          <t>A 60345-2018</t>
        </is>
      </c>
      <c r="B996" s="1" t="n">
        <v>43420</v>
      </c>
      <c r="C996" s="1" t="n">
        <v>45227</v>
      </c>
      <c r="D996" t="inlineStr">
        <is>
          <t>VÄSTRA GÖTALANDS LÄN</t>
        </is>
      </c>
      <c r="E996" t="inlineStr">
        <is>
          <t>MARK</t>
        </is>
      </c>
      <c r="G996" t="n">
        <v>2.7</v>
      </c>
      <c r="H996" t="n">
        <v>0</v>
      </c>
      <c r="I996" t="n">
        <v>0</v>
      </c>
      <c r="J996" t="n">
        <v>0</v>
      </c>
      <c r="K996" t="n">
        <v>0</v>
      </c>
      <c r="L996" t="n">
        <v>0</v>
      </c>
      <c r="M996" t="n">
        <v>0</v>
      </c>
      <c r="N996" t="n">
        <v>0</v>
      </c>
      <c r="O996" t="n">
        <v>0</v>
      </c>
      <c r="P996" t="n">
        <v>0</v>
      </c>
      <c r="Q996" t="n">
        <v>0</v>
      </c>
      <c r="R996" s="2" t="inlineStr"/>
    </row>
    <row r="997" ht="15" customHeight="1">
      <c r="A997" t="inlineStr">
        <is>
          <t>A 60624-2018</t>
        </is>
      </c>
      <c r="B997" s="1" t="n">
        <v>43420</v>
      </c>
      <c r="C997" s="1" t="n">
        <v>45227</v>
      </c>
      <c r="D997" t="inlineStr">
        <is>
          <t>VÄSTRA GÖTALANDS LÄN</t>
        </is>
      </c>
      <c r="E997" t="inlineStr">
        <is>
          <t>BENGTSFORS</t>
        </is>
      </c>
      <c r="G997" t="n">
        <v>0.3</v>
      </c>
      <c r="H997" t="n">
        <v>0</v>
      </c>
      <c r="I997" t="n">
        <v>0</v>
      </c>
      <c r="J997" t="n">
        <v>0</v>
      </c>
      <c r="K997" t="n">
        <v>0</v>
      </c>
      <c r="L997" t="n">
        <v>0</v>
      </c>
      <c r="M997" t="n">
        <v>0</v>
      </c>
      <c r="N997" t="n">
        <v>0</v>
      </c>
      <c r="O997" t="n">
        <v>0</v>
      </c>
      <c r="P997" t="n">
        <v>0</v>
      </c>
      <c r="Q997" t="n">
        <v>0</v>
      </c>
      <c r="R997" s="2" t="inlineStr"/>
    </row>
    <row r="998" ht="15" customHeight="1">
      <c r="A998" t="inlineStr">
        <is>
          <t>A 60333-2018</t>
        </is>
      </c>
      <c r="B998" s="1" t="n">
        <v>43420</v>
      </c>
      <c r="C998" s="1" t="n">
        <v>45227</v>
      </c>
      <c r="D998" t="inlineStr">
        <is>
          <t>VÄSTRA GÖTALANDS LÄN</t>
        </is>
      </c>
      <c r="E998" t="inlineStr">
        <is>
          <t>MARK</t>
        </is>
      </c>
      <c r="G998" t="n">
        <v>1.2</v>
      </c>
      <c r="H998" t="n">
        <v>0</v>
      </c>
      <c r="I998" t="n">
        <v>0</v>
      </c>
      <c r="J998" t="n">
        <v>0</v>
      </c>
      <c r="K998" t="n">
        <v>0</v>
      </c>
      <c r="L998" t="n">
        <v>0</v>
      </c>
      <c r="M998" t="n">
        <v>0</v>
      </c>
      <c r="N998" t="n">
        <v>0</v>
      </c>
      <c r="O998" t="n">
        <v>0</v>
      </c>
      <c r="P998" t="n">
        <v>0</v>
      </c>
      <c r="Q998" t="n">
        <v>0</v>
      </c>
      <c r="R998" s="2" t="inlineStr"/>
    </row>
    <row r="999" ht="15" customHeight="1">
      <c r="A999" t="inlineStr">
        <is>
          <t>A 64503-2018</t>
        </is>
      </c>
      <c r="B999" s="1" t="n">
        <v>43420</v>
      </c>
      <c r="C999" s="1" t="n">
        <v>45227</v>
      </c>
      <c r="D999" t="inlineStr">
        <is>
          <t>VÄSTRA GÖTALANDS LÄN</t>
        </is>
      </c>
      <c r="E999" t="inlineStr">
        <is>
          <t>TANUM</t>
        </is>
      </c>
      <c r="G999" t="n">
        <v>1.6</v>
      </c>
      <c r="H999" t="n">
        <v>0</v>
      </c>
      <c r="I999" t="n">
        <v>0</v>
      </c>
      <c r="J999" t="n">
        <v>0</v>
      </c>
      <c r="K999" t="n">
        <v>0</v>
      </c>
      <c r="L999" t="n">
        <v>0</v>
      </c>
      <c r="M999" t="n">
        <v>0</v>
      </c>
      <c r="N999" t="n">
        <v>0</v>
      </c>
      <c r="O999" t="n">
        <v>0</v>
      </c>
      <c r="P999" t="n">
        <v>0</v>
      </c>
      <c r="Q999" t="n">
        <v>0</v>
      </c>
      <c r="R999" s="2" t="inlineStr"/>
    </row>
    <row r="1000" ht="15" customHeight="1">
      <c r="A1000" t="inlineStr">
        <is>
          <t>A 64602-2018</t>
        </is>
      </c>
      <c r="B1000" s="1" t="n">
        <v>43420</v>
      </c>
      <c r="C1000" s="1" t="n">
        <v>45227</v>
      </c>
      <c r="D1000" t="inlineStr">
        <is>
          <t>VÄSTRA GÖTALANDS LÄN</t>
        </is>
      </c>
      <c r="E1000" t="inlineStr">
        <is>
          <t>DALS-ED</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60342-2018</t>
        </is>
      </c>
      <c r="B1001" s="1" t="n">
        <v>43420</v>
      </c>
      <c r="C1001" s="1" t="n">
        <v>45227</v>
      </c>
      <c r="D1001" t="inlineStr">
        <is>
          <t>VÄSTRA GÖTALANDS LÄN</t>
        </is>
      </c>
      <c r="E1001" t="inlineStr">
        <is>
          <t>TRANEMO</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60353-2018</t>
        </is>
      </c>
      <c r="B1002" s="1" t="n">
        <v>43420</v>
      </c>
      <c r="C1002" s="1" t="n">
        <v>45227</v>
      </c>
      <c r="D1002" t="inlineStr">
        <is>
          <t>VÄSTRA GÖTALANDS LÄN</t>
        </is>
      </c>
      <c r="E1002" t="inlineStr">
        <is>
          <t>MARK</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60533-2018</t>
        </is>
      </c>
      <c r="B1003" s="1" t="n">
        <v>43420</v>
      </c>
      <c r="C1003" s="1" t="n">
        <v>45227</v>
      </c>
      <c r="D1003" t="inlineStr">
        <is>
          <t>VÄSTRA GÖTALANDS LÄN</t>
        </is>
      </c>
      <c r="E1003" t="inlineStr">
        <is>
          <t>ULRICEHAMN</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60893-2018</t>
        </is>
      </c>
      <c r="B1004" s="1" t="n">
        <v>43423</v>
      </c>
      <c r="C1004" s="1" t="n">
        <v>45227</v>
      </c>
      <c r="D1004" t="inlineStr">
        <is>
          <t>VÄSTRA GÖTALANDS LÄN</t>
        </is>
      </c>
      <c r="E1004" t="inlineStr">
        <is>
          <t>TRANEMO</t>
        </is>
      </c>
      <c r="G1004" t="n">
        <v>6.1</v>
      </c>
      <c r="H1004" t="n">
        <v>0</v>
      </c>
      <c r="I1004" t="n">
        <v>0</v>
      </c>
      <c r="J1004" t="n">
        <v>0</v>
      </c>
      <c r="K1004" t="n">
        <v>0</v>
      </c>
      <c r="L1004" t="n">
        <v>0</v>
      </c>
      <c r="M1004" t="n">
        <v>0</v>
      </c>
      <c r="N1004" t="n">
        <v>0</v>
      </c>
      <c r="O1004" t="n">
        <v>0</v>
      </c>
      <c r="P1004" t="n">
        <v>0</v>
      </c>
      <c r="Q1004" t="n">
        <v>0</v>
      </c>
      <c r="R1004" s="2" t="inlineStr"/>
    </row>
    <row r="1005" ht="15" customHeight="1">
      <c r="A1005" t="inlineStr">
        <is>
          <t>A 61031-2018</t>
        </is>
      </c>
      <c r="B1005" s="1" t="n">
        <v>43423</v>
      </c>
      <c r="C1005" s="1" t="n">
        <v>45227</v>
      </c>
      <c r="D1005" t="inlineStr">
        <is>
          <t>VÄSTRA GÖTALANDS LÄN</t>
        </is>
      </c>
      <c r="E1005" t="inlineStr">
        <is>
          <t>STENUNGSUND</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61073-2018</t>
        </is>
      </c>
      <c r="B1006" s="1" t="n">
        <v>43423</v>
      </c>
      <c r="C1006" s="1" t="n">
        <v>45227</v>
      </c>
      <c r="D1006" t="inlineStr">
        <is>
          <t>VÄSTRA GÖTALANDS LÄN</t>
        </is>
      </c>
      <c r="E1006" t="inlineStr">
        <is>
          <t>DALS-ED</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61175-2018</t>
        </is>
      </c>
      <c r="B1007" s="1" t="n">
        <v>43423</v>
      </c>
      <c r="C1007" s="1" t="n">
        <v>45227</v>
      </c>
      <c r="D1007" t="inlineStr">
        <is>
          <t>VÄSTRA GÖTALANDS LÄN</t>
        </is>
      </c>
      <c r="E1007" t="inlineStr">
        <is>
          <t>KUNGÄLV</t>
        </is>
      </c>
      <c r="G1007" t="n">
        <v>5.6</v>
      </c>
      <c r="H1007" t="n">
        <v>0</v>
      </c>
      <c r="I1007" t="n">
        <v>0</v>
      </c>
      <c r="J1007" t="n">
        <v>0</v>
      </c>
      <c r="K1007" t="n">
        <v>0</v>
      </c>
      <c r="L1007" t="n">
        <v>0</v>
      </c>
      <c r="M1007" t="n">
        <v>0</v>
      </c>
      <c r="N1007" t="n">
        <v>0</v>
      </c>
      <c r="O1007" t="n">
        <v>0</v>
      </c>
      <c r="P1007" t="n">
        <v>0</v>
      </c>
      <c r="Q1007" t="n">
        <v>0</v>
      </c>
      <c r="R1007" s="2" t="inlineStr"/>
    </row>
    <row r="1008" ht="15" customHeight="1">
      <c r="A1008" t="inlineStr">
        <is>
          <t>A 60941-2018</t>
        </is>
      </c>
      <c r="B1008" s="1" t="n">
        <v>43423</v>
      </c>
      <c r="C1008" s="1" t="n">
        <v>45227</v>
      </c>
      <c r="D1008" t="inlineStr">
        <is>
          <t>VÄSTRA GÖTALANDS LÄN</t>
        </is>
      </c>
      <c r="E1008" t="inlineStr">
        <is>
          <t>BORÅS</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60961-2018</t>
        </is>
      </c>
      <c r="B1009" s="1" t="n">
        <v>43423</v>
      </c>
      <c r="C1009" s="1" t="n">
        <v>45227</v>
      </c>
      <c r="D1009" t="inlineStr">
        <is>
          <t>VÄSTRA GÖTALANDS LÄN</t>
        </is>
      </c>
      <c r="E1009" t="inlineStr">
        <is>
          <t>FÄRGELANDA</t>
        </is>
      </c>
      <c r="G1009" t="n">
        <v>4.6</v>
      </c>
      <c r="H1009" t="n">
        <v>0</v>
      </c>
      <c r="I1009" t="n">
        <v>0</v>
      </c>
      <c r="J1009" t="n">
        <v>0</v>
      </c>
      <c r="K1009" t="n">
        <v>0</v>
      </c>
      <c r="L1009" t="n">
        <v>0</v>
      </c>
      <c r="M1009" t="n">
        <v>0</v>
      </c>
      <c r="N1009" t="n">
        <v>0</v>
      </c>
      <c r="O1009" t="n">
        <v>0</v>
      </c>
      <c r="P1009" t="n">
        <v>0</v>
      </c>
      <c r="Q1009" t="n">
        <v>0</v>
      </c>
      <c r="R1009" s="2" t="inlineStr"/>
    </row>
    <row r="1010" ht="15" customHeight="1">
      <c r="A1010" t="inlineStr">
        <is>
          <t>A 61179-2018</t>
        </is>
      </c>
      <c r="B1010" s="1" t="n">
        <v>43423</v>
      </c>
      <c r="C1010" s="1" t="n">
        <v>45227</v>
      </c>
      <c r="D1010" t="inlineStr">
        <is>
          <t>VÄSTRA GÖTALANDS LÄN</t>
        </is>
      </c>
      <c r="E1010" t="inlineStr">
        <is>
          <t>ESSUNGA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61231-2018</t>
        </is>
      </c>
      <c r="B1011" s="1" t="n">
        <v>43423</v>
      </c>
      <c r="C1011" s="1" t="n">
        <v>45227</v>
      </c>
      <c r="D1011" t="inlineStr">
        <is>
          <t>VÄSTRA GÖTALANDS LÄN</t>
        </is>
      </c>
      <c r="E1011" t="inlineStr">
        <is>
          <t>KUNGÄLV</t>
        </is>
      </c>
      <c r="G1011" t="n">
        <v>2.1</v>
      </c>
      <c r="H1011" t="n">
        <v>0</v>
      </c>
      <c r="I1011" t="n">
        <v>0</v>
      </c>
      <c r="J1011" t="n">
        <v>0</v>
      </c>
      <c r="K1011" t="n">
        <v>0</v>
      </c>
      <c r="L1011" t="n">
        <v>0</v>
      </c>
      <c r="M1011" t="n">
        <v>0</v>
      </c>
      <c r="N1011" t="n">
        <v>0</v>
      </c>
      <c r="O1011" t="n">
        <v>0</v>
      </c>
      <c r="P1011" t="n">
        <v>0</v>
      </c>
      <c r="Q1011" t="n">
        <v>0</v>
      </c>
      <c r="R1011" s="2" t="inlineStr"/>
    </row>
    <row r="1012" ht="15" customHeight="1">
      <c r="A1012" t="inlineStr">
        <is>
          <t>A 60936-2018</t>
        </is>
      </c>
      <c r="B1012" s="1" t="n">
        <v>43423</v>
      </c>
      <c r="C1012" s="1" t="n">
        <v>45227</v>
      </c>
      <c r="D1012" t="inlineStr">
        <is>
          <t>VÄSTRA GÖTALANDS LÄN</t>
        </is>
      </c>
      <c r="E1012" t="inlineStr">
        <is>
          <t>ALINGSÅS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60952-2018</t>
        </is>
      </c>
      <c r="B1013" s="1" t="n">
        <v>43423</v>
      </c>
      <c r="C1013" s="1" t="n">
        <v>45227</v>
      </c>
      <c r="D1013" t="inlineStr">
        <is>
          <t>VÄSTRA GÖTALANDS LÄN</t>
        </is>
      </c>
      <c r="E1013" t="inlineStr">
        <is>
          <t>FALKÖPING</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61024-2018</t>
        </is>
      </c>
      <c r="B1014" s="1" t="n">
        <v>43423</v>
      </c>
      <c r="C1014" s="1" t="n">
        <v>45227</v>
      </c>
      <c r="D1014" t="inlineStr">
        <is>
          <t>VÄSTRA GÖTALANDS LÄN</t>
        </is>
      </c>
      <c r="E1014" t="inlineStr">
        <is>
          <t>TIDAHOLM</t>
        </is>
      </c>
      <c r="F1014" t="inlineStr">
        <is>
          <t>Sveaskog</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61111-2018</t>
        </is>
      </c>
      <c r="B1015" s="1" t="n">
        <v>43423</v>
      </c>
      <c r="C1015" s="1" t="n">
        <v>45227</v>
      </c>
      <c r="D1015" t="inlineStr">
        <is>
          <t>VÄSTRA GÖTALANDS LÄN</t>
        </is>
      </c>
      <c r="E1015" t="inlineStr">
        <is>
          <t>KUNGÄLV</t>
        </is>
      </c>
      <c r="G1015" t="n">
        <v>5.5</v>
      </c>
      <c r="H1015" t="n">
        <v>0</v>
      </c>
      <c r="I1015" t="n">
        <v>0</v>
      </c>
      <c r="J1015" t="n">
        <v>0</v>
      </c>
      <c r="K1015" t="n">
        <v>0</v>
      </c>
      <c r="L1015" t="n">
        <v>0</v>
      </c>
      <c r="M1015" t="n">
        <v>0</v>
      </c>
      <c r="N1015" t="n">
        <v>0</v>
      </c>
      <c r="O1015" t="n">
        <v>0</v>
      </c>
      <c r="P1015" t="n">
        <v>0</v>
      </c>
      <c r="Q1015" t="n">
        <v>0</v>
      </c>
      <c r="R1015" s="2" t="inlineStr"/>
    </row>
    <row r="1016" ht="15" customHeight="1">
      <c r="A1016" t="inlineStr">
        <is>
          <t>A 60954-2018</t>
        </is>
      </c>
      <c r="B1016" s="1" t="n">
        <v>43423</v>
      </c>
      <c r="C1016" s="1" t="n">
        <v>45227</v>
      </c>
      <c r="D1016" t="inlineStr">
        <is>
          <t>VÄSTRA GÖTALANDS LÄN</t>
        </is>
      </c>
      <c r="E1016" t="inlineStr">
        <is>
          <t>TROLLHÄTTAN</t>
        </is>
      </c>
      <c r="F1016" t="inlineStr">
        <is>
          <t>Kommuner</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61025-2018</t>
        </is>
      </c>
      <c r="B1017" s="1" t="n">
        <v>43423</v>
      </c>
      <c r="C1017" s="1" t="n">
        <v>45227</v>
      </c>
      <c r="D1017" t="inlineStr">
        <is>
          <t>VÄSTRA GÖTALANDS LÄN</t>
        </is>
      </c>
      <c r="E1017" t="inlineStr">
        <is>
          <t>TIDAHOLM</t>
        </is>
      </c>
      <c r="F1017" t="inlineStr">
        <is>
          <t>Sveaskog</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61155-2018</t>
        </is>
      </c>
      <c r="B1018" s="1" t="n">
        <v>43423</v>
      </c>
      <c r="C1018" s="1" t="n">
        <v>45227</v>
      </c>
      <c r="D1018" t="inlineStr">
        <is>
          <t>VÄSTRA GÖTALANDS LÄN</t>
        </is>
      </c>
      <c r="E1018" t="inlineStr">
        <is>
          <t>BORÅS</t>
        </is>
      </c>
      <c r="G1018" t="n">
        <v>20.8</v>
      </c>
      <c r="H1018" t="n">
        <v>0</v>
      </c>
      <c r="I1018" t="n">
        <v>0</v>
      </c>
      <c r="J1018" t="n">
        <v>0</v>
      </c>
      <c r="K1018" t="n">
        <v>0</v>
      </c>
      <c r="L1018" t="n">
        <v>0</v>
      </c>
      <c r="M1018" t="n">
        <v>0</v>
      </c>
      <c r="N1018" t="n">
        <v>0</v>
      </c>
      <c r="O1018" t="n">
        <v>0</v>
      </c>
      <c r="P1018" t="n">
        <v>0</v>
      </c>
      <c r="Q1018" t="n">
        <v>0</v>
      </c>
      <c r="R1018" s="2" t="inlineStr"/>
    </row>
    <row r="1019" ht="15" customHeight="1">
      <c r="A1019" t="inlineStr">
        <is>
          <t>A 61252-2018</t>
        </is>
      </c>
      <c r="B1019" s="1" t="n">
        <v>43423</v>
      </c>
      <c r="C1019" s="1" t="n">
        <v>45227</v>
      </c>
      <c r="D1019" t="inlineStr">
        <is>
          <t>VÄSTRA GÖTALANDS LÄN</t>
        </is>
      </c>
      <c r="E1019" t="inlineStr">
        <is>
          <t>SVENLJUNGA</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66875-2018</t>
        </is>
      </c>
      <c r="B1020" s="1" t="n">
        <v>43423</v>
      </c>
      <c r="C1020" s="1" t="n">
        <v>45227</v>
      </c>
      <c r="D1020" t="inlineStr">
        <is>
          <t>VÄSTRA GÖTALANDS LÄN</t>
        </is>
      </c>
      <c r="E1020" t="inlineStr">
        <is>
          <t>VARA</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61396-2018</t>
        </is>
      </c>
      <c r="B1021" s="1" t="n">
        <v>43424</v>
      </c>
      <c r="C1021" s="1" t="n">
        <v>45227</v>
      </c>
      <c r="D1021" t="inlineStr">
        <is>
          <t>VÄSTRA GÖTALANDS LÄN</t>
        </is>
      </c>
      <c r="E1021" t="inlineStr">
        <is>
          <t>HÄRRYDA</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61454-2018</t>
        </is>
      </c>
      <c r="B1022" s="1" t="n">
        <v>43424</v>
      </c>
      <c r="C1022" s="1" t="n">
        <v>45227</v>
      </c>
      <c r="D1022" t="inlineStr">
        <is>
          <t>VÄSTRA GÖTALANDS LÄN</t>
        </is>
      </c>
      <c r="E1022" t="inlineStr">
        <is>
          <t>FALKÖPING</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61509-2018</t>
        </is>
      </c>
      <c r="B1023" s="1" t="n">
        <v>43424</v>
      </c>
      <c r="C1023" s="1" t="n">
        <v>45227</v>
      </c>
      <c r="D1023" t="inlineStr">
        <is>
          <t>VÄSTRA GÖTALANDS LÄN</t>
        </is>
      </c>
      <c r="E1023" t="inlineStr">
        <is>
          <t>VÅRGÅRDA</t>
        </is>
      </c>
      <c r="G1023" t="n">
        <v>7</v>
      </c>
      <c r="H1023" t="n">
        <v>0</v>
      </c>
      <c r="I1023" t="n">
        <v>0</v>
      </c>
      <c r="J1023" t="n">
        <v>0</v>
      </c>
      <c r="K1023" t="n">
        <v>0</v>
      </c>
      <c r="L1023" t="n">
        <v>0</v>
      </c>
      <c r="M1023" t="n">
        <v>0</v>
      </c>
      <c r="N1023" t="n">
        <v>0</v>
      </c>
      <c r="O1023" t="n">
        <v>0</v>
      </c>
      <c r="P1023" t="n">
        <v>0</v>
      </c>
      <c r="Q1023" t="n">
        <v>0</v>
      </c>
      <c r="R1023" s="2" t="inlineStr"/>
    </row>
    <row r="1024" ht="15" customHeight="1">
      <c r="A1024" t="inlineStr">
        <is>
          <t>A 61590-2018</t>
        </is>
      </c>
      <c r="B1024" s="1" t="n">
        <v>43424</v>
      </c>
      <c r="C1024" s="1" t="n">
        <v>45227</v>
      </c>
      <c r="D1024" t="inlineStr">
        <is>
          <t>VÄSTRA GÖTALANDS LÄN</t>
        </is>
      </c>
      <c r="E1024" t="inlineStr">
        <is>
          <t>TIDAHOLM</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61340-2018</t>
        </is>
      </c>
      <c r="B1025" s="1" t="n">
        <v>43424</v>
      </c>
      <c r="C1025" s="1" t="n">
        <v>45227</v>
      </c>
      <c r="D1025" t="inlineStr">
        <is>
          <t>VÄSTRA GÖTALANDS LÄN</t>
        </is>
      </c>
      <c r="E1025" t="inlineStr">
        <is>
          <t>DALS-ED</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61461-2018</t>
        </is>
      </c>
      <c r="B1026" s="1" t="n">
        <v>43424</v>
      </c>
      <c r="C1026" s="1" t="n">
        <v>45227</v>
      </c>
      <c r="D1026" t="inlineStr">
        <is>
          <t>VÄSTRA GÖTALANDS LÄN</t>
        </is>
      </c>
      <c r="E1026" t="inlineStr">
        <is>
          <t>BORÅS</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61599-2018</t>
        </is>
      </c>
      <c r="B1027" s="1" t="n">
        <v>43424</v>
      </c>
      <c r="C1027" s="1" t="n">
        <v>45227</v>
      </c>
      <c r="D1027" t="inlineStr">
        <is>
          <t>VÄSTRA GÖTALANDS LÄN</t>
        </is>
      </c>
      <c r="E1027" t="inlineStr">
        <is>
          <t>TRANEMO</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65191-2018</t>
        </is>
      </c>
      <c r="B1028" s="1" t="n">
        <v>43424</v>
      </c>
      <c r="C1028" s="1" t="n">
        <v>45227</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61307-2018</t>
        </is>
      </c>
      <c r="B1029" s="1" t="n">
        <v>43424</v>
      </c>
      <c r="C1029" s="1" t="n">
        <v>45227</v>
      </c>
      <c r="D1029" t="inlineStr">
        <is>
          <t>VÄSTRA GÖTALANDS LÄN</t>
        </is>
      </c>
      <c r="E1029" t="inlineStr">
        <is>
          <t>UDDEVALLA</t>
        </is>
      </c>
      <c r="G1029" t="n">
        <v>6.4</v>
      </c>
      <c r="H1029" t="n">
        <v>0</v>
      </c>
      <c r="I1029" t="n">
        <v>0</v>
      </c>
      <c r="J1029" t="n">
        <v>0</v>
      </c>
      <c r="K1029" t="n">
        <v>0</v>
      </c>
      <c r="L1029" t="n">
        <v>0</v>
      </c>
      <c r="M1029" t="n">
        <v>0</v>
      </c>
      <c r="N1029" t="n">
        <v>0</v>
      </c>
      <c r="O1029" t="n">
        <v>0</v>
      </c>
      <c r="P1029" t="n">
        <v>0</v>
      </c>
      <c r="Q1029" t="n">
        <v>0</v>
      </c>
      <c r="R1029" s="2" t="inlineStr"/>
    </row>
    <row r="1030" ht="15" customHeight="1">
      <c r="A1030" t="inlineStr">
        <is>
          <t>A 61424-2018</t>
        </is>
      </c>
      <c r="B1030" s="1" t="n">
        <v>43424</v>
      </c>
      <c r="C1030" s="1" t="n">
        <v>45227</v>
      </c>
      <c r="D1030" t="inlineStr">
        <is>
          <t>VÄSTRA GÖTALANDS LÄN</t>
        </is>
      </c>
      <c r="E1030" t="inlineStr">
        <is>
          <t>TIDAHOLM</t>
        </is>
      </c>
      <c r="F1030" t="inlineStr">
        <is>
          <t>Sveaskog</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61432-2018</t>
        </is>
      </c>
      <c r="B1031" s="1" t="n">
        <v>43424</v>
      </c>
      <c r="C1031" s="1" t="n">
        <v>45227</v>
      </c>
      <c r="D1031" t="inlineStr">
        <is>
          <t>VÄSTRA GÖTALANDS LÄN</t>
        </is>
      </c>
      <c r="E1031" t="inlineStr">
        <is>
          <t>FALKÖPING</t>
        </is>
      </c>
      <c r="G1031" t="n">
        <v>1.7</v>
      </c>
      <c r="H1031" t="n">
        <v>0</v>
      </c>
      <c r="I1031" t="n">
        <v>0</v>
      </c>
      <c r="J1031" t="n">
        <v>0</v>
      </c>
      <c r="K1031" t="n">
        <v>0</v>
      </c>
      <c r="L1031" t="n">
        <v>0</v>
      </c>
      <c r="M1031" t="n">
        <v>0</v>
      </c>
      <c r="N1031" t="n">
        <v>0</v>
      </c>
      <c r="O1031" t="n">
        <v>0</v>
      </c>
      <c r="P1031" t="n">
        <v>0</v>
      </c>
      <c r="Q1031" t="n">
        <v>0</v>
      </c>
      <c r="R1031" s="2" t="inlineStr"/>
    </row>
    <row r="1032" ht="15" customHeight="1">
      <c r="A1032" t="inlineStr">
        <is>
          <t>A 61393-2018</t>
        </is>
      </c>
      <c r="B1032" s="1" t="n">
        <v>43424</v>
      </c>
      <c r="C1032" s="1" t="n">
        <v>45227</v>
      </c>
      <c r="D1032" t="inlineStr">
        <is>
          <t>VÄSTRA GÖTALANDS LÄN</t>
        </is>
      </c>
      <c r="E1032" t="inlineStr">
        <is>
          <t>SVENLJUNGA</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61415-2018</t>
        </is>
      </c>
      <c r="B1033" s="1" t="n">
        <v>43424</v>
      </c>
      <c r="C1033" s="1" t="n">
        <v>45227</v>
      </c>
      <c r="D1033" t="inlineStr">
        <is>
          <t>VÄSTRA GÖTALANDS LÄN</t>
        </is>
      </c>
      <c r="E1033" t="inlineStr">
        <is>
          <t>MARK</t>
        </is>
      </c>
      <c r="F1033" t="inlineStr">
        <is>
          <t>Kommuner</t>
        </is>
      </c>
      <c r="G1033" t="n">
        <v>4.8</v>
      </c>
      <c r="H1033" t="n">
        <v>0</v>
      </c>
      <c r="I1033" t="n">
        <v>0</v>
      </c>
      <c r="J1033" t="n">
        <v>0</v>
      </c>
      <c r="K1033" t="n">
        <v>0</v>
      </c>
      <c r="L1033" t="n">
        <v>0</v>
      </c>
      <c r="M1033" t="n">
        <v>0</v>
      </c>
      <c r="N1033" t="n">
        <v>0</v>
      </c>
      <c r="O1033" t="n">
        <v>0</v>
      </c>
      <c r="P1033" t="n">
        <v>0</v>
      </c>
      <c r="Q1033" t="n">
        <v>0</v>
      </c>
      <c r="R1033" s="2" t="inlineStr"/>
    </row>
    <row r="1034" ht="15" customHeight="1">
      <c r="A1034" t="inlineStr">
        <is>
          <t>A 61791-2018</t>
        </is>
      </c>
      <c r="B1034" s="1" t="n">
        <v>43425</v>
      </c>
      <c r="C1034" s="1" t="n">
        <v>45227</v>
      </c>
      <c r="D1034" t="inlineStr">
        <is>
          <t>VÄSTRA GÖTALANDS LÄN</t>
        </is>
      </c>
      <c r="E1034" t="inlineStr">
        <is>
          <t>TRANEMO</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61810-2018</t>
        </is>
      </c>
      <c r="B1035" s="1" t="n">
        <v>43425</v>
      </c>
      <c r="C1035" s="1" t="n">
        <v>45227</v>
      </c>
      <c r="D1035" t="inlineStr">
        <is>
          <t>VÄSTRA GÖTALANDS LÄN</t>
        </is>
      </c>
      <c r="E1035" t="inlineStr">
        <is>
          <t>SKARA</t>
        </is>
      </c>
      <c r="G1035" t="n">
        <v>5</v>
      </c>
      <c r="H1035" t="n">
        <v>0</v>
      </c>
      <c r="I1035" t="n">
        <v>0</v>
      </c>
      <c r="J1035" t="n">
        <v>0</v>
      </c>
      <c r="K1035" t="n">
        <v>0</v>
      </c>
      <c r="L1035" t="n">
        <v>0</v>
      </c>
      <c r="M1035" t="n">
        <v>0</v>
      </c>
      <c r="N1035" t="n">
        <v>0</v>
      </c>
      <c r="O1035" t="n">
        <v>0</v>
      </c>
      <c r="P1035" t="n">
        <v>0</v>
      </c>
      <c r="Q1035" t="n">
        <v>0</v>
      </c>
      <c r="R1035" s="2" t="inlineStr"/>
    </row>
    <row r="1036" ht="15" customHeight="1">
      <c r="A1036" t="inlineStr">
        <is>
          <t>A 61932-2018</t>
        </is>
      </c>
      <c r="B1036" s="1" t="n">
        <v>43425</v>
      </c>
      <c r="C1036" s="1" t="n">
        <v>45227</v>
      </c>
      <c r="D1036" t="inlineStr">
        <is>
          <t>VÄSTRA GÖTALANDS LÄN</t>
        </is>
      </c>
      <c r="E1036" t="inlineStr">
        <is>
          <t>TROLLHÄTTAN</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62154-2018</t>
        </is>
      </c>
      <c r="B1037" s="1" t="n">
        <v>43425</v>
      </c>
      <c r="C1037" s="1" t="n">
        <v>45227</v>
      </c>
      <c r="D1037" t="inlineStr">
        <is>
          <t>VÄSTRA GÖTALANDS LÄN</t>
        </is>
      </c>
      <c r="E1037" t="inlineStr">
        <is>
          <t>FALKÖPING</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62219-2018</t>
        </is>
      </c>
      <c r="B1038" s="1" t="n">
        <v>43425</v>
      </c>
      <c r="C1038" s="1" t="n">
        <v>45227</v>
      </c>
      <c r="D1038" t="inlineStr">
        <is>
          <t>VÄSTRA GÖTALANDS LÄN</t>
        </is>
      </c>
      <c r="E1038" t="inlineStr">
        <is>
          <t>ÅMÅL</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65530-2018</t>
        </is>
      </c>
      <c r="B1039" s="1" t="n">
        <v>43425</v>
      </c>
      <c r="C1039" s="1" t="n">
        <v>45227</v>
      </c>
      <c r="D1039" t="inlineStr">
        <is>
          <t>VÄSTRA GÖTALANDS LÄN</t>
        </is>
      </c>
      <c r="E1039" t="inlineStr">
        <is>
          <t>STRÖMSTAD</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61831-2018</t>
        </is>
      </c>
      <c r="B1040" s="1" t="n">
        <v>43425</v>
      </c>
      <c r="C1040" s="1" t="n">
        <v>45227</v>
      </c>
      <c r="D1040" t="inlineStr">
        <is>
          <t>VÄSTRA GÖTALANDS LÄN</t>
        </is>
      </c>
      <c r="E1040" t="inlineStr">
        <is>
          <t>SVENLJUNGA</t>
        </is>
      </c>
      <c r="G1040" t="n">
        <v>20.1</v>
      </c>
      <c r="H1040" t="n">
        <v>0</v>
      </c>
      <c r="I1040" t="n">
        <v>0</v>
      </c>
      <c r="J1040" t="n">
        <v>0</v>
      </c>
      <c r="K1040" t="n">
        <v>0</v>
      </c>
      <c r="L1040" t="n">
        <v>0</v>
      </c>
      <c r="M1040" t="n">
        <v>0</v>
      </c>
      <c r="N1040" t="n">
        <v>0</v>
      </c>
      <c r="O1040" t="n">
        <v>0</v>
      </c>
      <c r="P1040" t="n">
        <v>0</v>
      </c>
      <c r="Q1040" t="n">
        <v>0</v>
      </c>
      <c r="R1040" s="2" t="inlineStr"/>
    </row>
    <row r="1041" ht="15" customHeight="1">
      <c r="A1041" t="inlineStr">
        <is>
          <t>A 61931-2018</t>
        </is>
      </c>
      <c r="B1041" s="1" t="n">
        <v>43425</v>
      </c>
      <c r="C1041" s="1" t="n">
        <v>45227</v>
      </c>
      <c r="D1041" t="inlineStr">
        <is>
          <t>VÄSTRA GÖTALANDS LÄN</t>
        </is>
      </c>
      <c r="E1041" t="inlineStr">
        <is>
          <t>FALKÖPING</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65655-2018</t>
        </is>
      </c>
      <c r="B1042" s="1" t="n">
        <v>43425</v>
      </c>
      <c r="C1042" s="1" t="n">
        <v>45227</v>
      </c>
      <c r="D1042" t="inlineStr">
        <is>
          <t>VÄSTRA GÖTALANDS LÄN</t>
        </is>
      </c>
      <c r="E1042" t="inlineStr">
        <is>
          <t>GULLSPÅNG</t>
        </is>
      </c>
      <c r="G1042" t="n">
        <v>2.1</v>
      </c>
      <c r="H1042" t="n">
        <v>0</v>
      </c>
      <c r="I1042" t="n">
        <v>0</v>
      </c>
      <c r="J1042" t="n">
        <v>0</v>
      </c>
      <c r="K1042" t="n">
        <v>0</v>
      </c>
      <c r="L1042" t="n">
        <v>0</v>
      </c>
      <c r="M1042" t="n">
        <v>0</v>
      </c>
      <c r="N1042" t="n">
        <v>0</v>
      </c>
      <c r="O1042" t="n">
        <v>0</v>
      </c>
      <c r="P1042" t="n">
        <v>0</v>
      </c>
      <c r="Q1042" t="n">
        <v>0</v>
      </c>
      <c r="R1042" s="2" t="inlineStr"/>
    </row>
    <row r="1043" ht="15" customHeight="1">
      <c r="A1043" t="inlineStr">
        <is>
          <t>A 61679-2018</t>
        </is>
      </c>
      <c r="B1043" s="1" t="n">
        <v>43425</v>
      </c>
      <c r="C1043" s="1" t="n">
        <v>45227</v>
      </c>
      <c r="D1043" t="inlineStr">
        <is>
          <t>VÄSTRA GÖTALANDS LÄN</t>
        </is>
      </c>
      <c r="E1043" t="inlineStr">
        <is>
          <t>TJÖRN</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61793-2018</t>
        </is>
      </c>
      <c r="B1044" s="1" t="n">
        <v>43425</v>
      </c>
      <c r="C1044" s="1" t="n">
        <v>45227</v>
      </c>
      <c r="D1044" t="inlineStr">
        <is>
          <t>VÄSTRA GÖTALANDS LÄN</t>
        </is>
      </c>
      <c r="E1044" t="inlineStr">
        <is>
          <t>TRANEMO</t>
        </is>
      </c>
      <c r="G1044" t="n">
        <v>4.3</v>
      </c>
      <c r="H1044" t="n">
        <v>0</v>
      </c>
      <c r="I1044" t="n">
        <v>0</v>
      </c>
      <c r="J1044" t="n">
        <v>0</v>
      </c>
      <c r="K1044" t="n">
        <v>0</v>
      </c>
      <c r="L1044" t="n">
        <v>0</v>
      </c>
      <c r="M1044" t="n">
        <v>0</v>
      </c>
      <c r="N1044" t="n">
        <v>0</v>
      </c>
      <c r="O1044" t="n">
        <v>0</v>
      </c>
      <c r="P1044" t="n">
        <v>0</v>
      </c>
      <c r="Q1044" t="n">
        <v>0</v>
      </c>
      <c r="R1044" s="2" t="inlineStr"/>
    </row>
    <row r="1045" ht="15" customHeight="1">
      <c r="A1045" t="inlineStr">
        <is>
          <t>A 61827-2018</t>
        </is>
      </c>
      <c r="B1045" s="1" t="n">
        <v>43425</v>
      </c>
      <c r="C1045" s="1" t="n">
        <v>45227</v>
      </c>
      <c r="D1045" t="inlineStr">
        <is>
          <t>VÄSTRA GÖTALANDS LÄN</t>
        </is>
      </c>
      <c r="E1045" t="inlineStr">
        <is>
          <t>BENGTSFORS</t>
        </is>
      </c>
      <c r="G1045" t="n">
        <v>3</v>
      </c>
      <c r="H1045" t="n">
        <v>0</v>
      </c>
      <c r="I1045" t="n">
        <v>0</v>
      </c>
      <c r="J1045" t="n">
        <v>0</v>
      </c>
      <c r="K1045" t="n">
        <v>0</v>
      </c>
      <c r="L1045" t="n">
        <v>0</v>
      </c>
      <c r="M1045" t="n">
        <v>0</v>
      </c>
      <c r="N1045" t="n">
        <v>0</v>
      </c>
      <c r="O1045" t="n">
        <v>0</v>
      </c>
      <c r="P1045" t="n">
        <v>0</v>
      </c>
      <c r="Q1045" t="n">
        <v>0</v>
      </c>
      <c r="R1045" s="2" t="inlineStr"/>
    </row>
    <row r="1046" ht="15" customHeight="1">
      <c r="A1046" t="inlineStr">
        <is>
          <t>A 61850-2018</t>
        </is>
      </c>
      <c r="B1046" s="1" t="n">
        <v>43425</v>
      </c>
      <c r="C1046" s="1" t="n">
        <v>45227</v>
      </c>
      <c r="D1046" t="inlineStr">
        <is>
          <t>VÄSTRA GÖTALANDS LÄN</t>
        </is>
      </c>
      <c r="E1046" t="inlineStr">
        <is>
          <t>SVENLJUNGA</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62172-2018</t>
        </is>
      </c>
      <c r="B1047" s="1" t="n">
        <v>43425</v>
      </c>
      <c r="C1047" s="1" t="n">
        <v>45227</v>
      </c>
      <c r="D1047" t="inlineStr">
        <is>
          <t>VÄSTRA GÖTALANDS LÄN</t>
        </is>
      </c>
      <c r="E1047" t="inlineStr">
        <is>
          <t>VARA</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62210-2018</t>
        </is>
      </c>
      <c r="B1048" s="1" t="n">
        <v>43425</v>
      </c>
      <c r="C1048" s="1" t="n">
        <v>45227</v>
      </c>
      <c r="D1048" t="inlineStr">
        <is>
          <t>VÄSTRA GÖTALANDS LÄN</t>
        </is>
      </c>
      <c r="E1048" t="inlineStr">
        <is>
          <t>STRÖMSTAD</t>
        </is>
      </c>
      <c r="G1048" t="n">
        <v>4.6</v>
      </c>
      <c r="H1048" t="n">
        <v>0</v>
      </c>
      <c r="I1048" t="n">
        <v>0</v>
      </c>
      <c r="J1048" t="n">
        <v>0</v>
      </c>
      <c r="K1048" t="n">
        <v>0</v>
      </c>
      <c r="L1048" t="n">
        <v>0</v>
      </c>
      <c r="M1048" t="n">
        <v>0</v>
      </c>
      <c r="N1048" t="n">
        <v>0</v>
      </c>
      <c r="O1048" t="n">
        <v>0</v>
      </c>
      <c r="P1048" t="n">
        <v>0</v>
      </c>
      <c r="Q1048" t="n">
        <v>0</v>
      </c>
      <c r="R1048" s="2" t="inlineStr"/>
    </row>
    <row r="1049" ht="15" customHeight="1">
      <c r="A1049" t="inlineStr">
        <is>
          <t>A 61670-2018</t>
        </is>
      </c>
      <c r="B1049" s="1" t="n">
        <v>43425</v>
      </c>
      <c r="C1049" s="1" t="n">
        <v>45227</v>
      </c>
      <c r="D1049" t="inlineStr">
        <is>
          <t>VÄSTRA GÖTALANDS LÄN</t>
        </is>
      </c>
      <c r="E1049" t="inlineStr">
        <is>
          <t>SKÖVDE</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61682-2018</t>
        </is>
      </c>
      <c r="B1050" s="1" t="n">
        <v>43425</v>
      </c>
      <c r="C1050" s="1" t="n">
        <v>45227</v>
      </c>
      <c r="D1050" t="inlineStr">
        <is>
          <t>VÄSTRA GÖTALANDS LÄN</t>
        </is>
      </c>
      <c r="E1050" t="inlineStr">
        <is>
          <t>DALS-ED</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61799-2018</t>
        </is>
      </c>
      <c r="B1051" s="1" t="n">
        <v>43425</v>
      </c>
      <c r="C1051" s="1" t="n">
        <v>45227</v>
      </c>
      <c r="D1051" t="inlineStr">
        <is>
          <t>VÄSTRA GÖTALANDS LÄN</t>
        </is>
      </c>
      <c r="E1051" t="inlineStr">
        <is>
          <t>BENGTSFORS</t>
        </is>
      </c>
      <c r="G1051" t="n">
        <v>8.1</v>
      </c>
      <c r="H1051" t="n">
        <v>0</v>
      </c>
      <c r="I1051" t="n">
        <v>0</v>
      </c>
      <c r="J1051" t="n">
        <v>0</v>
      </c>
      <c r="K1051" t="n">
        <v>0</v>
      </c>
      <c r="L1051" t="n">
        <v>0</v>
      </c>
      <c r="M1051" t="n">
        <v>0</v>
      </c>
      <c r="N1051" t="n">
        <v>0</v>
      </c>
      <c r="O1051" t="n">
        <v>0</v>
      </c>
      <c r="P1051" t="n">
        <v>0</v>
      </c>
      <c r="Q1051" t="n">
        <v>0</v>
      </c>
      <c r="R1051" s="2" t="inlineStr"/>
    </row>
    <row r="1052" ht="15" customHeight="1">
      <c r="A1052" t="inlineStr">
        <is>
          <t>A 61812-2018</t>
        </is>
      </c>
      <c r="B1052" s="1" t="n">
        <v>43425</v>
      </c>
      <c r="C1052" s="1" t="n">
        <v>45227</v>
      </c>
      <c r="D1052" t="inlineStr">
        <is>
          <t>VÄSTRA GÖTALANDS LÄN</t>
        </is>
      </c>
      <c r="E1052" t="inlineStr">
        <is>
          <t>SKARA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61830-2018</t>
        </is>
      </c>
      <c r="B1053" s="1" t="n">
        <v>43425</v>
      </c>
      <c r="C1053" s="1" t="n">
        <v>45227</v>
      </c>
      <c r="D1053" t="inlineStr">
        <is>
          <t>VÄSTRA GÖTALANDS LÄN</t>
        </is>
      </c>
      <c r="E1053" t="inlineStr">
        <is>
          <t>TRANEMO</t>
        </is>
      </c>
      <c r="G1053" t="n">
        <v>3.4</v>
      </c>
      <c r="H1053" t="n">
        <v>0</v>
      </c>
      <c r="I1053" t="n">
        <v>0</v>
      </c>
      <c r="J1053" t="n">
        <v>0</v>
      </c>
      <c r="K1053" t="n">
        <v>0</v>
      </c>
      <c r="L1053" t="n">
        <v>0</v>
      </c>
      <c r="M1053" t="n">
        <v>0</v>
      </c>
      <c r="N1053" t="n">
        <v>0</v>
      </c>
      <c r="O1053" t="n">
        <v>0</v>
      </c>
      <c r="P1053" t="n">
        <v>0</v>
      </c>
      <c r="Q1053" t="n">
        <v>0</v>
      </c>
      <c r="R1053" s="2" t="inlineStr"/>
    </row>
    <row r="1054" ht="15" customHeight="1">
      <c r="A1054" t="inlineStr">
        <is>
          <t>A 65632-2018</t>
        </is>
      </c>
      <c r="B1054" s="1" t="n">
        <v>43426</v>
      </c>
      <c r="C1054" s="1" t="n">
        <v>45227</v>
      </c>
      <c r="D1054" t="inlineStr">
        <is>
          <t>VÄSTRA GÖTALANDS LÄN</t>
        </is>
      </c>
      <c r="E1054" t="inlineStr">
        <is>
          <t>SKARA</t>
        </is>
      </c>
      <c r="F1054" t="inlineStr">
        <is>
          <t>Kommuner</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66244-2018</t>
        </is>
      </c>
      <c r="B1055" s="1" t="n">
        <v>43426</v>
      </c>
      <c r="C1055" s="1" t="n">
        <v>45227</v>
      </c>
      <c r="D1055" t="inlineStr">
        <is>
          <t>VÄSTRA GÖTALANDS LÄN</t>
        </is>
      </c>
      <c r="E1055" t="inlineStr">
        <is>
          <t>FALKÖPING</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62606-2018</t>
        </is>
      </c>
      <c r="B1056" s="1" t="n">
        <v>43426</v>
      </c>
      <c r="C1056" s="1" t="n">
        <v>45227</v>
      </c>
      <c r="D1056" t="inlineStr">
        <is>
          <t>VÄSTRA GÖTALANDS LÄN</t>
        </is>
      </c>
      <c r="E1056" t="inlineStr">
        <is>
          <t>STENUNGSUND</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62895-2018</t>
        </is>
      </c>
      <c r="B1057" s="1" t="n">
        <v>43426</v>
      </c>
      <c r="C1057" s="1" t="n">
        <v>45227</v>
      </c>
      <c r="D1057" t="inlineStr">
        <is>
          <t>VÄSTRA GÖTALANDS LÄN</t>
        </is>
      </c>
      <c r="E1057" t="inlineStr">
        <is>
          <t>DALS-ED</t>
        </is>
      </c>
      <c r="G1057" t="n">
        <v>3.8</v>
      </c>
      <c r="H1057" t="n">
        <v>0</v>
      </c>
      <c r="I1057" t="n">
        <v>0</v>
      </c>
      <c r="J1057" t="n">
        <v>0</v>
      </c>
      <c r="K1057" t="n">
        <v>0</v>
      </c>
      <c r="L1057" t="n">
        <v>0</v>
      </c>
      <c r="M1057" t="n">
        <v>0</v>
      </c>
      <c r="N1057" t="n">
        <v>0</v>
      </c>
      <c r="O1057" t="n">
        <v>0</v>
      </c>
      <c r="P1057" t="n">
        <v>0</v>
      </c>
      <c r="Q1057" t="n">
        <v>0</v>
      </c>
      <c r="R1057" s="2" t="inlineStr"/>
    </row>
    <row r="1058" ht="15" customHeight="1">
      <c r="A1058" t="inlineStr">
        <is>
          <t>A 63217-2018</t>
        </is>
      </c>
      <c r="B1058" s="1" t="n">
        <v>43426</v>
      </c>
      <c r="C1058" s="1" t="n">
        <v>45227</v>
      </c>
      <c r="D1058" t="inlineStr">
        <is>
          <t>VÄSTRA GÖTALANDS LÄN</t>
        </is>
      </c>
      <c r="E1058" t="inlineStr">
        <is>
          <t>SVENLJUNGA</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65637-2018</t>
        </is>
      </c>
      <c r="B1059" s="1" t="n">
        <v>43426</v>
      </c>
      <c r="C1059" s="1" t="n">
        <v>45227</v>
      </c>
      <c r="D1059" t="inlineStr">
        <is>
          <t>VÄSTRA GÖTALANDS LÄN</t>
        </is>
      </c>
      <c r="E1059" t="inlineStr">
        <is>
          <t>TÖREBODA</t>
        </is>
      </c>
      <c r="F1059" t="inlineStr">
        <is>
          <t>Kommuner</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62622-2018</t>
        </is>
      </c>
      <c r="B1060" s="1" t="n">
        <v>43426</v>
      </c>
      <c r="C1060" s="1" t="n">
        <v>45227</v>
      </c>
      <c r="D1060" t="inlineStr">
        <is>
          <t>VÄSTRA GÖTALANDS LÄN</t>
        </is>
      </c>
      <c r="E1060" t="inlineStr">
        <is>
          <t>MUNKEDAL</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62897-2018</t>
        </is>
      </c>
      <c r="B1061" s="1" t="n">
        <v>43426</v>
      </c>
      <c r="C1061" s="1" t="n">
        <v>45227</v>
      </c>
      <c r="D1061" t="inlineStr">
        <is>
          <t>VÄSTRA GÖTALANDS LÄN</t>
        </is>
      </c>
      <c r="E1061" t="inlineStr">
        <is>
          <t>LERUM</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65882-2018</t>
        </is>
      </c>
      <c r="B1062" s="1" t="n">
        <v>43426</v>
      </c>
      <c r="C1062" s="1" t="n">
        <v>45227</v>
      </c>
      <c r="D1062" t="inlineStr">
        <is>
          <t>VÄSTRA GÖTALANDS LÄN</t>
        </is>
      </c>
      <c r="E1062" t="inlineStr">
        <is>
          <t>VARA</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66243-2018</t>
        </is>
      </c>
      <c r="B1063" s="1" t="n">
        <v>43426</v>
      </c>
      <c r="C1063" s="1" t="n">
        <v>45227</v>
      </c>
      <c r="D1063" t="inlineStr">
        <is>
          <t>VÄSTRA GÖTALANDS LÄN</t>
        </is>
      </c>
      <c r="E1063" t="inlineStr">
        <is>
          <t>FALKÖPING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62570-2018</t>
        </is>
      </c>
      <c r="B1064" s="1" t="n">
        <v>43426</v>
      </c>
      <c r="C1064" s="1" t="n">
        <v>45227</v>
      </c>
      <c r="D1064" t="inlineStr">
        <is>
          <t>VÄSTRA GÖTALANDS LÄN</t>
        </is>
      </c>
      <c r="E1064" t="inlineStr">
        <is>
          <t>MUNKEDAL</t>
        </is>
      </c>
      <c r="G1064" t="n">
        <v>4.5</v>
      </c>
      <c r="H1064" t="n">
        <v>0</v>
      </c>
      <c r="I1064" t="n">
        <v>0</v>
      </c>
      <c r="J1064" t="n">
        <v>0</v>
      </c>
      <c r="K1064" t="n">
        <v>0</v>
      </c>
      <c r="L1064" t="n">
        <v>0</v>
      </c>
      <c r="M1064" t="n">
        <v>0</v>
      </c>
      <c r="N1064" t="n">
        <v>0</v>
      </c>
      <c r="O1064" t="n">
        <v>0</v>
      </c>
      <c r="P1064" t="n">
        <v>0</v>
      </c>
      <c r="Q1064" t="n">
        <v>0</v>
      </c>
      <c r="R1064" s="2" t="inlineStr"/>
    </row>
    <row r="1065" ht="15" customHeight="1">
      <c r="A1065" t="inlineStr">
        <is>
          <t>A 62582-2018</t>
        </is>
      </c>
      <c r="B1065" s="1" t="n">
        <v>43426</v>
      </c>
      <c r="C1065" s="1" t="n">
        <v>45227</v>
      </c>
      <c r="D1065" t="inlineStr">
        <is>
          <t>VÄSTRA GÖTALANDS LÄN</t>
        </is>
      </c>
      <c r="E1065" t="inlineStr">
        <is>
          <t>MELLERUD</t>
        </is>
      </c>
      <c r="G1065" t="n">
        <v>9.4</v>
      </c>
      <c r="H1065" t="n">
        <v>0</v>
      </c>
      <c r="I1065" t="n">
        <v>0</v>
      </c>
      <c r="J1065" t="n">
        <v>0</v>
      </c>
      <c r="K1065" t="n">
        <v>0</v>
      </c>
      <c r="L1065" t="n">
        <v>0</v>
      </c>
      <c r="M1065" t="n">
        <v>0</v>
      </c>
      <c r="N1065" t="n">
        <v>0</v>
      </c>
      <c r="O1065" t="n">
        <v>0</v>
      </c>
      <c r="P1065" t="n">
        <v>0</v>
      </c>
      <c r="Q1065" t="n">
        <v>0</v>
      </c>
      <c r="R1065" s="2" t="inlineStr"/>
    </row>
    <row r="1066" ht="15" customHeight="1">
      <c r="A1066" t="inlineStr">
        <is>
          <t>A 62627-2018</t>
        </is>
      </c>
      <c r="B1066" s="1" t="n">
        <v>43426</v>
      </c>
      <c r="C1066" s="1" t="n">
        <v>45227</v>
      </c>
      <c r="D1066" t="inlineStr">
        <is>
          <t>VÄSTRA GÖTALANDS LÄN</t>
        </is>
      </c>
      <c r="E1066" t="inlineStr">
        <is>
          <t>TANUM</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62867-2018</t>
        </is>
      </c>
      <c r="B1067" s="1" t="n">
        <v>43426</v>
      </c>
      <c r="C1067" s="1" t="n">
        <v>45227</v>
      </c>
      <c r="D1067" t="inlineStr">
        <is>
          <t>VÄSTRA GÖTALANDS LÄN</t>
        </is>
      </c>
      <c r="E1067" t="inlineStr">
        <is>
          <t>TÖREBODA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62892-2018</t>
        </is>
      </c>
      <c r="B1068" s="1" t="n">
        <v>43426</v>
      </c>
      <c r="C1068" s="1" t="n">
        <v>45227</v>
      </c>
      <c r="D1068" t="inlineStr">
        <is>
          <t>VÄSTRA GÖTALANDS LÄN</t>
        </is>
      </c>
      <c r="E1068" t="inlineStr">
        <is>
          <t>DALS-ED</t>
        </is>
      </c>
      <c r="G1068" t="n">
        <v>3.2</v>
      </c>
      <c r="H1068" t="n">
        <v>0</v>
      </c>
      <c r="I1068" t="n">
        <v>0</v>
      </c>
      <c r="J1068" t="n">
        <v>0</v>
      </c>
      <c r="K1068" t="n">
        <v>0</v>
      </c>
      <c r="L1068" t="n">
        <v>0</v>
      </c>
      <c r="M1068" t="n">
        <v>0</v>
      </c>
      <c r="N1068" t="n">
        <v>0</v>
      </c>
      <c r="O1068" t="n">
        <v>0</v>
      </c>
      <c r="P1068" t="n">
        <v>0</v>
      </c>
      <c r="Q1068" t="n">
        <v>0</v>
      </c>
      <c r="R1068" s="2" t="inlineStr"/>
    </row>
    <row r="1069" ht="15" customHeight="1">
      <c r="A1069" t="inlineStr">
        <is>
          <t>A 65648-2018</t>
        </is>
      </c>
      <c r="B1069" s="1" t="n">
        <v>43426</v>
      </c>
      <c r="C1069" s="1" t="n">
        <v>45227</v>
      </c>
      <c r="D1069" t="inlineStr">
        <is>
          <t>VÄSTRA GÖTALANDS LÄN</t>
        </is>
      </c>
      <c r="E1069" t="inlineStr">
        <is>
          <t>STRÖMSTAD</t>
        </is>
      </c>
      <c r="G1069" t="n">
        <v>7.5</v>
      </c>
      <c r="H1069" t="n">
        <v>0</v>
      </c>
      <c r="I1069" t="n">
        <v>0</v>
      </c>
      <c r="J1069" t="n">
        <v>0</v>
      </c>
      <c r="K1069" t="n">
        <v>0</v>
      </c>
      <c r="L1069" t="n">
        <v>0</v>
      </c>
      <c r="M1069" t="n">
        <v>0</v>
      </c>
      <c r="N1069" t="n">
        <v>0</v>
      </c>
      <c r="O1069" t="n">
        <v>0</v>
      </c>
      <c r="P1069" t="n">
        <v>0</v>
      </c>
      <c r="Q1069" t="n">
        <v>0</v>
      </c>
      <c r="R1069" s="2" t="inlineStr"/>
    </row>
    <row r="1070" ht="15" customHeight="1">
      <c r="A1070" t="inlineStr">
        <is>
          <t>A 62561-2018</t>
        </is>
      </c>
      <c r="B1070" s="1" t="n">
        <v>43426</v>
      </c>
      <c r="C1070" s="1" t="n">
        <v>45227</v>
      </c>
      <c r="D1070" t="inlineStr">
        <is>
          <t>VÄSTRA GÖTALANDS LÄN</t>
        </is>
      </c>
      <c r="E1070" t="inlineStr">
        <is>
          <t>BOLLEBYGD</t>
        </is>
      </c>
      <c r="G1070" t="n">
        <v>3.9</v>
      </c>
      <c r="H1070" t="n">
        <v>0</v>
      </c>
      <c r="I1070" t="n">
        <v>0</v>
      </c>
      <c r="J1070" t="n">
        <v>0</v>
      </c>
      <c r="K1070" t="n">
        <v>0</v>
      </c>
      <c r="L1070" t="n">
        <v>0</v>
      </c>
      <c r="M1070" t="n">
        <v>0</v>
      </c>
      <c r="N1070" t="n">
        <v>0</v>
      </c>
      <c r="O1070" t="n">
        <v>0</v>
      </c>
      <c r="P1070" t="n">
        <v>0</v>
      </c>
      <c r="Q1070" t="n">
        <v>0</v>
      </c>
      <c r="R1070" s="2" t="inlineStr"/>
    </row>
    <row r="1071" ht="15" customHeight="1">
      <c r="A1071" t="inlineStr">
        <is>
          <t>A 62609-2018</t>
        </is>
      </c>
      <c r="B1071" s="1" t="n">
        <v>43426</v>
      </c>
      <c r="C1071" s="1" t="n">
        <v>45227</v>
      </c>
      <c r="D1071" t="inlineStr">
        <is>
          <t>VÄSTRA GÖTALANDS LÄN</t>
        </is>
      </c>
      <c r="E1071" t="inlineStr">
        <is>
          <t>FÄRGELANDA</t>
        </is>
      </c>
      <c r="G1071" t="n">
        <v>2.1</v>
      </c>
      <c r="H1071" t="n">
        <v>0</v>
      </c>
      <c r="I1071" t="n">
        <v>0</v>
      </c>
      <c r="J1071" t="n">
        <v>0</v>
      </c>
      <c r="K1071" t="n">
        <v>0</v>
      </c>
      <c r="L1071" t="n">
        <v>0</v>
      </c>
      <c r="M1071" t="n">
        <v>0</v>
      </c>
      <c r="N1071" t="n">
        <v>0</v>
      </c>
      <c r="O1071" t="n">
        <v>0</v>
      </c>
      <c r="P1071" t="n">
        <v>0</v>
      </c>
      <c r="Q1071" t="n">
        <v>0</v>
      </c>
      <c r="R1071" s="2" t="inlineStr"/>
    </row>
    <row r="1072" ht="15" customHeight="1">
      <c r="A1072" t="inlineStr">
        <is>
          <t>A 63402-2018</t>
        </is>
      </c>
      <c r="B1072" s="1" t="n">
        <v>43427</v>
      </c>
      <c r="C1072" s="1" t="n">
        <v>45227</v>
      </c>
      <c r="D1072" t="inlineStr">
        <is>
          <t>VÄSTRA GÖTALANDS LÄN</t>
        </is>
      </c>
      <c r="E1072" t="inlineStr">
        <is>
          <t>TRANEMO</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66130-2018</t>
        </is>
      </c>
      <c r="B1073" s="1" t="n">
        <v>43427</v>
      </c>
      <c r="C1073" s="1" t="n">
        <v>45227</v>
      </c>
      <c r="D1073" t="inlineStr">
        <is>
          <t>VÄSTRA GÖTALANDS LÄN</t>
        </is>
      </c>
      <c r="E1073" t="inlineStr">
        <is>
          <t>BORÅS</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66262-2018</t>
        </is>
      </c>
      <c r="B1074" s="1" t="n">
        <v>43427</v>
      </c>
      <c r="C1074" s="1" t="n">
        <v>45227</v>
      </c>
      <c r="D1074" t="inlineStr">
        <is>
          <t>VÄSTRA GÖTALANDS LÄN</t>
        </is>
      </c>
      <c r="E1074" t="inlineStr">
        <is>
          <t>TIDAHOLM</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66279-2018</t>
        </is>
      </c>
      <c r="B1075" s="1" t="n">
        <v>43427</v>
      </c>
      <c r="C1075" s="1" t="n">
        <v>45227</v>
      </c>
      <c r="D1075" t="inlineStr">
        <is>
          <t>VÄSTRA GÖTALANDS LÄN</t>
        </is>
      </c>
      <c r="E1075" t="inlineStr">
        <is>
          <t>FALKÖPING</t>
        </is>
      </c>
      <c r="G1075" t="n">
        <v>7.3</v>
      </c>
      <c r="H1075" t="n">
        <v>0</v>
      </c>
      <c r="I1075" t="n">
        <v>0</v>
      </c>
      <c r="J1075" t="n">
        <v>0</v>
      </c>
      <c r="K1075" t="n">
        <v>0</v>
      </c>
      <c r="L1075" t="n">
        <v>0</v>
      </c>
      <c r="M1075" t="n">
        <v>0</v>
      </c>
      <c r="N1075" t="n">
        <v>0</v>
      </c>
      <c r="O1075" t="n">
        <v>0</v>
      </c>
      <c r="P1075" t="n">
        <v>0</v>
      </c>
      <c r="Q1075" t="n">
        <v>0</v>
      </c>
      <c r="R1075" s="2" t="inlineStr"/>
    </row>
    <row r="1076" ht="15" customHeight="1">
      <c r="A1076" t="inlineStr">
        <is>
          <t>A 63397-2018</t>
        </is>
      </c>
      <c r="B1076" s="1" t="n">
        <v>43427</v>
      </c>
      <c r="C1076" s="1" t="n">
        <v>45227</v>
      </c>
      <c r="D1076" t="inlineStr">
        <is>
          <t>VÄSTRA GÖTALANDS LÄN</t>
        </is>
      </c>
      <c r="E1076" t="inlineStr">
        <is>
          <t>TRANEMO</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66258-2018</t>
        </is>
      </c>
      <c r="B1077" s="1" t="n">
        <v>43427</v>
      </c>
      <c r="C1077" s="1" t="n">
        <v>45227</v>
      </c>
      <c r="D1077" t="inlineStr">
        <is>
          <t>VÄSTRA GÖTALANDS LÄN</t>
        </is>
      </c>
      <c r="E1077" t="inlineStr">
        <is>
          <t>BENGTSFORS</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63432-2018</t>
        </is>
      </c>
      <c r="B1078" s="1" t="n">
        <v>43427</v>
      </c>
      <c r="C1078" s="1" t="n">
        <v>45227</v>
      </c>
      <c r="D1078" t="inlineStr">
        <is>
          <t>VÄSTRA GÖTALANDS LÄN</t>
        </is>
      </c>
      <c r="E1078" t="inlineStr">
        <is>
          <t>BENGTSFORS</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63671-2018</t>
        </is>
      </c>
      <c r="B1079" s="1" t="n">
        <v>43428</v>
      </c>
      <c r="C1079" s="1" t="n">
        <v>45227</v>
      </c>
      <c r="D1079" t="inlineStr">
        <is>
          <t>VÄSTRA GÖTALANDS LÄN</t>
        </is>
      </c>
      <c r="E1079" t="inlineStr">
        <is>
          <t>MELLERUD</t>
        </is>
      </c>
      <c r="G1079" t="n">
        <v>4.1</v>
      </c>
      <c r="H1079" t="n">
        <v>0</v>
      </c>
      <c r="I1079" t="n">
        <v>0</v>
      </c>
      <c r="J1079" t="n">
        <v>0</v>
      </c>
      <c r="K1079" t="n">
        <v>0</v>
      </c>
      <c r="L1079" t="n">
        <v>0</v>
      </c>
      <c r="M1079" t="n">
        <v>0</v>
      </c>
      <c r="N1079" t="n">
        <v>0</v>
      </c>
      <c r="O1079" t="n">
        <v>0</v>
      </c>
      <c r="P1079" t="n">
        <v>0</v>
      </c>
      <c r="Q1079" t="n">
        <v>0</v>
      </c>
      <c r="R1079" s="2" t="inlineStr"/>
    </row>
    <row r="1080" ht="15" customHeight="1">
      <c r="A1080" t="inlineStr">
        <is>
          <t>A 63702-2018</t>
        </is>
      </c>
      <c r="B1080" s="1" t="n">
        <v>43428</v>
      </c>
      <c r="C1080" s="1" t="n">
        <v>45227</v>
      </c>
      <c r="D1080" t="inlineStr">
        <is>
          <t>VÄSTRA GÖTALANDS LÄN</t>
        </is>
      </c>
      <c r="E1080" t="inlineStr">
        <is>
          <t>SVENLJUNGA</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64030-2018</t>
        </is>
      </c>
      <c r="B1081" s="1" t="n">
        <v>43430</v>
      </c>
      <c r="C1081" s="1" t="n">
        <v>45227</v>
      </c>
      <c r="D1081" t="inlineStr">
        <is>
          <t>VÄSTRA GÖTALANDS LÄN</t>
        </is>
      </c>
      <c r="E1081" t="inlineStr">
        <is>
          <t>TRANEMO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64179-2018</t>
        </is>
      </c>
      <c r="B1082" s="1" t="n">
        <v>43430</v>
      </c>
      <c r="C1082" s="1" t="n">
        <v>45227</v>
      </c>
      <c r="D1082" t="inlineStr">
        <is>
          <t>VÄSTRA GÖTALANDS LÄN</t>
        </is>
      </c>
      <c r="E1082" t="inlineStr">
        <is>
          <t>VÅRGÅRDA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64194-2018</t>
        </is>
      </c>
      <c r="B1083" s="1" t="n">
        <v>43430</v>
      </c>
      <c r="C1083" s="1" t="n">
        <v>45227</v>
      </c>
      <c r="D1083" t="inlineStr">
        <is>
          <t>VÄSTRA GÖTALANDS LÄN</t>
        </is>
      </c>
      <c r="E1083" t="inlineStr">
        <is>
          <t>ALINGSÅS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64218-2018</t>
        </is>
      </c>
      <c r="B1084" s="1" t="n">
        <v>43430</v>
      </c>
      <c r="C1084" s="1" t="n">
        <v>45227</v>
      </c>
      <c r="D1084" t="inlineStr">
        <is>
          <t>VÄSTRA GÖTALANDS LÄN</t>
        </is>
      </c>
      <c r="E1084" t="inlineStr">
        <is>
          <t>LYSEKIL</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64289-2018</t>
        </is>
      </c>
      <c r="B1085" s="1" t="n">
        <v>43430</v>
      </c>
      <c r="C1085" s="1" t="n">
        <v>45227</v>
      </c>
      <c r="D1085" t="inlineStr">
        <is>
          <t>VÄSTRA GÖTALANDS LÄN</t>
        </is>
      </c>
      <c r="E1085" t="inlineStr">
        <is>
          <t>ALINGSÅS</t>
        </is>
      </c>
      <c r="G1085" t="n">
        <v>3.2</v>
      </c>
      <c r="H1085" t="n">
        <v>0</v>
      </c>
      <c r="I1085" t="n">
        <v>0</v>
      </c>
      <c r="J1085" t="n">
        <v>0</v>
      </c>
      <c r="K1085" t="n">
        <v>0</v>
      </c>
      <c r="L1085" t="n">
        <v>0</v>
      </c>
      <c r="M1085" t="n">
        <v>0</v>
      </c>
      <c r="N1085" t="n">
        <v>0</v>
      </c>
      <c r="O1085" t="n">
        <v>0</v>
      </c>
      <c r="P1085" t="n">
        <v>0</v>
      </c>
      <c r="Q1085" t="n">
        <v>0</v>
      </c>
      <c r="R1085" s="2" t="inlineStr"/>
    </row>
    <row r="1086" ht="15" customHeight="1">
      <c r="A1086" t="inlineStr">
        <is>
          <t>A 64351-2018</t>
        </is>
      </c>
      <c r="B1086" s="1" t="n">
        <v>43430</v>
      </c>
      <c r="C1086" s="1" t="n">
        <v>45227</v>
      </c>
      <c r="D1086" t="inlineStr">
        <is>
          <t>VÄSTRA GÖTALANDS LÄN</t>
        </is>
      </c>
      <c r="E1086" t="inlineStr">
        <is>
          <t>BORÅS</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64396-2018</t>
        </is>
      </c>
      <c r="B1087" s="1" t="n">
        <v>43430</v>
      </c>
      <c r="C1087" s="1" t="n">
        <v>45227</v>
      </c>
      <c r="D1087" t="inlineStr">
        <is>
          <t>VÄSTRA GÖTALANDS LÄN</t>
        </is>
      </c>
      <c r="E1087" t="inlineStr">
        <is>
          <t>FALKÖPING</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66585-2018</t>
        </is>
      </c>
      <c r="B1088" s="1" t="n">
        <v>43430</v>
      </c>
      <c r="C1088" s="1" t="n">
        <v>45227</v>
      </c>
      <c r="D1088" t="inlineStr">
        <is>
          <t>VÄSTRA GÖTALANDS LÄN</t>
        </is>
      </c>
      <c r="E1088" t="inlineStr">
        <is>
          <t>UDDEVALLA</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64244-2018</t>
        </is>
      </c>
      <c r="B1089" s="1" t="n">
        <v>43430</v>
      </c>
      <c r="C1089" s="1" t="n">
        <v>45227</v>
      </c>
      <c r="D1089" t="inlineStr">
        <is>
          <t>VÄSTRA GÖTALANDS LÄN</t>
        </is>
      </c>
      <c r="E1089" t="inlineStr">
        <is>
          <t>TRANEMO</t>
        </is>
      </c>
      <c r="G1089" t="n">
        <v>3.2</v>
      </c>
      <c r="H1089" t="n">
        <v>0</v>
      </c>
      <c r="I1089" t="n">
        <v>0</v>
      </c>
      <c r="J1089" t="n">
        <v>0</v>
      </c>
      <c r="K1089" t="n">
        <v>0</v>
      </c>
      <c r="L1089" t="n">
        <v>0</v>
      </c>
      <c r="M1089" t="n">
        <v>0</v>
      </c>
      <c r="N1089" t="n">
        <v>0</v>
      </c>
      <c r="O1089" t="n">
        <v>0</v>
      </c>
      <c r="P1089" t="n">
        <v>0</v>
      </c>
      <c r="Q1089" t="n">
        <v>0</v>
      </c>
      <c r="R1089" s="2" t="inlineStr"/>
    </row>
    <row r="1090" ht="15" customHeight="1">
      <c r="A1090" t="inlineStr">
        <is>
          <t>A 64254-2018</t>
        </is>
      </c>
      <c r="B1090" s="1" t="n">
        <v>43430</v>
      </c>
      <c r="C1090" s="1" t="n">
        <v>45227</v>
      </c>
      <c r="D1090" t="inlineStr">
        <is>
          <t>VÄSTRA GÖTALANDS LÄN</t>
        </is>
      </c>
      <c r="E1090" t="inlineStr">
        <is>
          <t>TRANEMO</t>
        </is>
      </c>
      <c r="G1090" t="n">
        <v>4.3</v>
      </c>
      <c r="H1090" t="n">
        <v>0</v>
      </c>
      <c r="I1090" t="n">
        <v>0</v>
      </c>
      <c r="J1090" t="n">
        <v>0</v>
      </c>
      <c r="K1090" t="n">
        <v>0</v>
      </c>
      <c r="L1090" t="n">
        <v>0</v>
      </c>
      <c r="M1090" t="n">
        <v>0</v>
      </c>
      <c r="N1090" t="n">
        <v>0</v>
      </c>
      <c r="O1090" t="n">
        <v>0</v>
      </c>
      <c r="P1090" t="n">
        <v>0</v>
      </c>
      <c r="Q1090" t="n">
        <v>0</v>
      </c>
      <c r="R1090" s="2" t="inlineStr"/>
    </row>
    <row r="1091" ht="15" customHeight="1">
      <c r="A1091" t="inlineStr">
        <is>
          <t>A 64368-2018</t>
        </is>
      </c>
      <c r="B1091" s="1" t="n">
        <v>43430</v>
      </c>
      <c r="C1091" s="1" t="n">
        <v>45227</v>
      </c>
      <c r="D1091" t="inlineStr">
        <is>
          <t>VÄSTRA GÖTALANDS LÄN</t>
        </is>
      </c>
      <c r="E1091" t="inlineStr">
        <is>
          <t>HERRLJUNGA</t>
        </is>
      </c>
      <c r="G1091" t="n">
        <v>1.3</v>
      </c>
      <c r="H1091" t="n">
        <v>0</v>
      </c>
      <c r="I1091" t="n">
        <v>0</v>
      </c>
      <c r="J1091" t="n">
        <v>0</v>
      </c>
      <c r="K1091" t="n">
        <v>0</v>
      </c>
      <c r="L1091" t="n">
        <v>0</v>
      </c>
      <c r="M1091" t="n">
        <v>0</v>
      </c>
      <c r="N1091" t="n">
        <v>0</v>
      </c>
      <c r="O1091" t="n">
        <v>0</v>
      </c>
      <c r="P1091" t="n">
        <v>0</v>
      </c>
      <c r="Q1091" t="n">
        <v>0</v>
      </c>
      <c r="R1091" s="2" t="inlineStr"/>
    </row>
    <row r="1092" ht="15" customHeight="1">
      <c r="A1092" t="inlineStr">
        <is>
          <t>A 66442-2018</t>
        </is>
      </c>
      <c r="B1092" s="1" t="n">
        <v>43430</v>
      </c>
      <c r="C1092" s="1" t="n">
        <v>45227</v>
      </c>
      <c r="D1092" t="inlineStr">
        <is>
          <t>VÄSTRA GÖTALANDS LÄN</t>
        </is>
      </c>
      <c r="E1092" t="inlineStr">
        <is>
          <t>STRÖMSTAD</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66512-2018</t>
        </is>
      </c>
      <c r="B1093" s="1" t="n">
        <v>43430</v>
      </c>
      <c r="C1093" s="1" t="n">
        <v>45227</v>
      </c>
      <c r="D1093" t="inlineStr">
        <is>
          <t>VÄSTRA GÖTALANDS LÄN</t>
        </is>
      </c>
      <c r="E1093" t="inlineStr">
        <is>
          <t>SOTENÄS</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64039-2018</t>
        </is>
      </c>
      <c r="B1094" s="1" t="n">
        <v>43430</v>
      </c>
      <c r="C1094" s="1" t="n">
        <v>45227</v>
      </c>
      <c r="D1094" t="inlineStr">
        <is>
          <t>VÄSTRA GÖTALANDS LÄN</t>
        </is>
      </c>
      <c r="E1094" t="inlineStr">
        <is>
          <t>SVENLJUNGA</t>
        </is>
      </c>
      <c r="G1094" t="n">
        <v>8.4</v>
      </c>
      <c r="H1094" t="n">
        <v>0</v>
      </c>
      <c r="I1094" t="n">
        <v>0</v>
      </c>
      <c r="J1094" t="n">
        <v>0</v>
      </c>
      <c r="K1094" t="n">
        <v>0</v>
      </c>
      <c r="L1094" t="n">
        <v>0</v>
      </c>
      <c r="M1094" t="n">
        <v>0</v>
      </c>
      <c r="N1094" t="n">
        <v>0</v>
      </c>
      <c r="O1094" t="n">
        <v>0</v>
      </c>
      <c r="P1094" t="n">
        <v>0</v>
      </c>
      <c r="Q1094" t="n">
        <v>0</v>
      </c>
      <c r="R1094" s="2" t="inlineStr"/>
    </row>
    <row r="1095" ht="15" customHeight="1">
      <c r="A1095" t="inlineStr">
        <is>
          <t>A 64109-2018</t>
        </is>
      </c>
      <c r="B1095" s="1" t="n">
        <v>43430</v>
      </c>
      <c r="C1095" s="1" t="n">
        <v>45227</v>
      </c>
      <c r="D1095" t="inlineStr">
        <is>
          <t>VÄSTRA GÖTALANDS LÄN</t>
        </is>
      </c>
      <c r="E1095" t="inlineStr">
        <is>
          <t>TIDAHOLM</t>
        </is>
      </c>
      <c r="G1095" t="n">
        <v>6.5</v>
      </c>
      <c r="H1095" t="n">
        <v>0</v>
      </c>
      <c r="I1095" t="n">
        <v>0</v>
      </c>
      <c r="J1095" t="n">
        <v>0</v>
      </c>
      <c r="K1095" t="n">
        <v>0</v>
      </c>
      <c r="L1095" t="n">
        <v>0</v>
      </c>
      <c r="M1095" t="n">
        <v>0</v>
      </c>
      <c r="N1095" t="n">
        <v>0</v>
      </c>
      <c r="O1095" t="n">
        <v>0</v>
      </c>
      <c r="P1095" t="n">
        <v>0</v>
      </c>
      <c r="Q1095" t="n">
        <v>0</v>
      </c>
      <c r="R1095" s="2" t="inlineStr"/>
    </row>
    <row r="1096" ht="15" customHeight="1">
      <c r="A1096" t="inlineStr">
        <is>
          <t>A 64178-2018</t>
        </is>
      </c>
      <c r="B1096" s="1" t="n">
        <v>43430</v>
      </c>
      <c r="C1096" s="1" t="n">
        <v>45227</v>
      </c>
      <c r="D1096" t="inlineStr">
        <is>
          <t>VÄSTRA GÖTALANDS LÄN</t>
        </is>
      </c>
      <c r="E1096" t="inlineStr">
        <is>
          <t>TANUM</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63966-2018</t>
        </is>
      </c>
      <c r="B1097" s="1" t="n">
        <v>43430</v>
      </c>
      <c r="C1097" s="1" t="n">
        <v>45227</v>
      </c>
      <c r="D1097" t="inlineStr">
        <is>
          <t>VÄSTRA GÖTALANDS LÄN</t>
        </is>
      </c>
      <c r="E1097" t="inlineStr">
        <is>
          <t>UDDEVALLA</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64033-2018</t>
        </is>
      </c>
      <c r="B1098" s="1" t="n">
        <v>43430</v>
      </c>
      <c r="C1098" s="1" t="n">
        <v>45227</v>
      </c>
      <c r="D1098" t="inlineStr">
        <is>
          <t>VÄSTRA GÖTALANDS LÄN</t>
        </is>
      </c>
      <c r="E1098" t="inlineStr">
        <is>
          <t>SKÖVDE</t>
        </is>
      </c>
      <c r="G1098" t="n">
        <v>7.4</v>
      </c>
      <c r="H1098" t="n">
        <v>0</v>
      </c>
      <c r="I1098" t="n">
        <v>0</v>
      </c>
      <c r="J1098" t="n">
        <v>0</v>
      </c>
      <c r="K1098" t="n">
        <v>0</v>
      </c>
      <c r="L1098" t="n">
        <v>0</v>
      </c>
      <c r="M1098" t="n">
        <v>0</v>
      </c>
      <c r="N1098" t="n">
        <v>0</v>
      </c>
      <c r="O1098" t="n">
        <v>0</v>
      </c>
      <c r="P1098" t="n">
        <v>0</v>
      </c>
      <c r="Q1098" t="n">
        <v>0</v>
      </c>
      <c r="R1098" s="2" t="inlineStr"/>
    </row>
    <row r="1099" ht="15" customHeight="1">
      <c r="A1099" t="inlineStr">
        <is>
          <t>A 64161-2018</t>
        </is>
      </c>
      <c r="B1099" s="1" t="n">
        <v>43430</v>
      </c>
      <c r="C1099" s="1" t="n">
        <v>45227</v>
      </c>
      <c r="D1099" t="inlineStr">
        <is>
          <t>VÄSTRA GÖTALANDS LÄN</t>
        </is>
      </c>
      <c r="E1099" t="inlineStr">
        <is>
          <t>TANUM</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64183-2018</t>
        </is>
      </c>
      <c r="B1100" s="1" t="n">
        <v>43430</v>
      </c>
      <c r="C1100" s="1" t="n">
        <v>45227</v>
      </c>
      <c r="D1100" t="inlineStr">
        <is>
          <t>VÄSTRA GÖTALANDS LÄN</t>
        </is>
      </c>
      <c r="E1100" t="inlineStr">
        <is>
          <t>TANUM</t>
        </is>
      </c>
      <c r="G1100" t="n">
        <v>5.6</v>
      </c>
      <c r="H1100" t="n">
        <v>0</v>
      </c>
      <c r="I1100" t="n">
        <v>0</v>
      </c>
      <c r="J1100" t="n">
        <v>0</v>
      </c>
      <c r="K1100" t="n">
        <v>0</v>
      </c>
      <c r="L1100" t="n">
        <v>0</v>
      </c>
      <c r="M1100" t="n">
        <v>0</v>
      </c>
      <c r="N1100" t="n">
        <v>0</v>
      </c>
      <c r="O1100" t="n">
        <v>0</v>
      </c>
      <c r="P1100" t="n">
        <v>0</v>
      </c>
      <c r="Q1100" t="n">
        <v>0</v>
      </c>
      <c r="R1100" s="2" t="inlineStr"/>
    </row>
    <row r="1101" ht="15" customHeight="1">
      <c r="A1101" t="inlineStr">
        <is>
          <t>A 64240-2018</t>
        </is>
      </c>
      <c r="B1101" s="1" t="n">
        <v>43430</v>
      </c>
      <c r="C1101" s="1" t="n">
        <v>45227</v>
      </c>
      <c r="D1101" t="inlineStr">
        <is>
          <t>VÄSTRA GÖTALANDS LÄN</t>
        </is>
      </c>
      <c r="E1101" t="inlineStr">
        <is>
          <t>MUNKEDAL</t>
        </is>
      </c>
      <c r="G1101" t="n">
        <v>6.2</v>
      </c>
      <c r="H1101" t="n">
        <v>0</v>
      </c>
      <c r="I1101" t="n">
        <v>0</v>
      </c>
      <c r="J1101" t="n">
        <v>0</v>
      </c>
      <c r="K1101" t="n">
        <v>0</v>
      </c>
      <c r="L1101" t="n">
        <v>0</v>
      </c>
      <c r="M1101" t="n">
        <v>0</v>
      </c>
      <c r="N1101" t="n">
        <v>0</v>
      </c>
      <c r="O1101" t="n">
        <v>0</v>
      </c>
      <c r="P1101" t="n">
        <v>0</v>
      </c>
      <c r="Q1101" t="n">
        <v>0</v>
      </c>
      <c r="R1101" s="2" t="inlineStr"/>
    </row>
    <row r="1102" ht="15" customHeight="1">
      <c r="A1102" t="inlineStr">
        <is>
          <t>A 64250-2018</t>
        </is>
      </c>
      <c r="B1102" s="1" t="n">
        <v>43430</v>
      </c>
      <c r="C1102" s="1" t="n">
        <v>45227</v>
      </c>
      <c r="D1102" t="inlineStr">
        <is>
          <t>VÄSTRA GÖTALANDS LÄN</t>
        </is>
      </c>
      <c r="E1102" t="inlineStr">
        <is>
          <t>BORÅS</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66468-2018</t>
        </is>
      </c>
      <c r="B1103" s="1" t="n">
        <v>43430</v>
      </c>
      <c r="C1103" s="1" t="n">
        <v>45227</v>
      </c>
      <c r="D1103" t="inlineStr">
        <is>
          <t>VÄSTRA GÖTALANDS LÄN</t>
        </is>
      </c>
      <c r="E1103" t="inlineStr">
        <is>
          <t>MUNKEDAL</t>
        </is>
      </c>
      <c r="G1103" t="n">
        <v>2.3</v>
      </c>
      <c r="H1103" t="n">
        <v>0</v>
      </c>
      <c r="I1103" t="n">
        <v>0</v>
      </c>
      <c r="J1103" t="n">
        <v>0</v>
      </c>
      <c r="K1103" t="n">
        <v>0</v>
      </c>
      <c r="L1103" t="n">
        <v>0</v>
      </c>
      <c r="M1103" t="n">
        <v>0</v>
      </c>
      <c r="N1103" t="n">
        <v>0</v>
      </c>
      <c r="O1103" t="n">
        <v>0</v>
      </c>
      <c r="P1103" t="n">
        <v>0</v>
      </c>
      <c r="Q1103" t="n">
        <v>0</v>
      </c>
      <c r="R1103" s="2" t="inlineStr"/>
    </row>
    <row r="1104" ht="15" customHeight="1">
      <c r="A1104" t="inlineStr">
        <is>
          <t>A 66636-2018</t>
        </is>
      </c>
      <c r="B1104" s="1" t="n">
        <v>43430</v>
      </c>
      <c r="C1104" s="1" t="n">
        <v>45227</v>
      </c>
      <c r="D1104" t="inlineStr">
        <is>
          <t>VÄSTRA GÖTALANDS LÄN</t>
        </is>
      </c>
      <c r="E1104" t="inlineStr">
        <is>
          <t>VARA</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64532-2018</t>
        </is>
      </c>
      <c r="B1105" s="1" t="n">
        <v>43431</v>
      </c>
      <c r="C1105" s="1" t="n">
        <v>45227</v>
      </c>
      <c r="D1105" t="inlineStr">
        <is>
          <t>VÄSTRA GÖTALANDS LÄN</t>
        </is>
      </c>
      <c r="E1105" t="inlineStr">
        <is>
          <t>HERRLJUNGA</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64629-2018</t>
        </is>
      </c>
      <c r="B1106" s="1" t="n">
        <v>43431</v>
      </c>
      <c r="C1106" s="1" t="n">
        <v>45227</v>
      </c>
      <c r="D1106" t="inlineStr">
        <is>
          <t>VÄSTRA GÖTALANDS LÄN</t>
        </is>
      </c>
      <c r="E1106" t="inlineStr">
        <is>
          <t>GÖTENE</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64835-2018</t>
        </is>
      </c>
      <c r="B1107" s="1" t="n">
        <v>43431</v>
      </c>
      <c r="C1107" s="1" t="n">
        <v>45227</v>
      </c>
      <c r="D1107" t="inlineStr">
        <is>
          <t>VÄSTRA GÖTALANDS LÄN</t>
        </is>
      </c>
      <c r="E1107" t="inlineStr">
        <is>
          <t>FALKÖPING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66960-2018</t>
        </is>
      </c>
      <c r="B1108" s="1" t="n">
        <v>43431</v>
      </c>
      <c r="C1108" s="1" t="n">
        <v>45227</v>
      </c>
      <c r="D1108" t="inlineStr">
        <is>
          <t>VÄSTRA GÖTALANDS LÄN</t>
        </is>
      </c>
      <c r="E1108" t="inlineStr">
        <is>
          <t>GULLSPÅNG</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67020-2018</t>
        </is>
      </c>
      <c r="B1109" s="1" t="n">
        <v>43431</v>
      </c>
      <c r="C1109" s="1" t="n">
        <v>45227</v>
      </c>
      <c r="D1109" t="inlineStr">
        <is>
          <t>VÄSTRA GÖTALANDS LÄN</t>
        </is>
      </c>
      <c r="E1109" t="inlineStr">
        <is>
          <t>MUNKEDAL</t>
        </is>
      </c>
      <c r="F1109" t="inlineStr">
        <is>
          <t>Kyrkan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67099-2018</t>
        </is>
      </c>
      <c r="B1110" s="1" t="n">
        <v>43431</v>
      </c>
      <c r="C1110" s="1" t="n">
        <v>45227</v>
      </c>
      <c r="D1110" t="inlineStr">
        <is>
          <t>VÄSTRA GÖTALANDS LÄN</t>
        </is>
      </c>
      <c r="E1110" t="inlineStr">
        <is>
          <t>HJO</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64495-2018</t>
        </is>
      </c>
      <c r="B1111" s="1" t="n">
        <v>43431</v>
      </c>
      <c r="C1111" s="1" t="n">
        <v>45227</v>
      </c>
      <c r="D1111" t="inlineStr">
        <is>
          <t>VÄSTRA GÖTALANDS LÄN</t>
        </is>
      </c>
      <c r="E1111" t="inlineStr">
        <is>
          <t>SOTENÄS</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64520-2018</t>
        </is>
      </c>
      <c r="B1112" s="1" t="n">
        <v>43431</v>
      </c>
      <c r="C1112" s="1" t="n">
        <v>45227</v>
      </c>
      <c r="D1112" t="inlineStr">
        <is>
          <t>VÄSTRA GÖTALANDS LÄN</t>
        </is>
      </c>
      <c r="E1112" t="inlineStr">
        <is>
          <t>TIDAHOLM</t>
        </is>
      </c>
      <c r="F1112" t="inlineStr">
        <is>
          <t>Sveaskog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64541-2018</t>
        </is>
      </c>
      <c r="B1113" s="1" t="n">
        <v>43431</v>
      </c>
      <c r="C1113" s="1" t="n">
        <v>45227</v>
      </c>
      <c r="D1113" t="inlineStr">
        <is>
          <t>VÄSTRA GÖTALANDS LÄN</t>
        </is>
      </c>
      <c r="E1113" t="inlineStr">
        <is>
          <t>TIBRO</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64626-2018</t>
        </is>
      </c>
      <c r="B1114" s="1" t="n">
        <v>43431</v>
      </c>
      <c r="C1114" s="1" t="n">
        <v>45227</v>
      </c>
      <c r="D1114" t="inlineStr">
        <is>
          <t>VÄSTRA GÖTALANDS LÄN</t>
        </is>
      </c>
      <c r="E1114" t="inlineStr">
        <is>
          <t>HJO</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67279-2018</t>
        </is>
      </c>
      <c r="B1115" s="1" t="n">
        <v>43431</v>
      </c>
      <c r="C1115" s="1" t="n">
        <v>45227</v>
      </c>
      <c r="D1115" t="inlineStr">
        <is>
          <t>VÄSTRA GÖTALANDS LÄN</t>
        </is>
      </c>
      <c r="E1115" t="inlineStr">
        <is>
          <t>KARLSBORG</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64547-2018</t>
        </is>
      </c>
      <c r="B1116" s="1" t="n">
        <v>43431</v>
      </c>
      <c r="C1116" s="1" t="n">
        <v>45227</v>
      </c>
      <c r="D1116" t="inlineStr">
        <is>
          <t>VÄSTRA GÖTALANDS LÄN</t>
        </is>
      </c>
      <c r="E1116" t="inlineStr">
        <is>
          <t>TIBRO</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64627-2018</t>
        </is>
      </c>
      <c r="B1117" s="1" t="n">
        <v>43431</v>
      </c>
      <c r="C1117" s="1" t="n">
        <v>45227</v>
      </c>
      <c r="D1117" t="inlineStr">
        <is>
          <t>VÄSTRA GÖTALANDS LÄN</t>
        </is>
      </c>
      <c r="E1117" t="inlineStr">
        <is>
          <t>KARLSBORG</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64940-2018</t>
        </is>
      </c>
      <c r="B1118" s="1" t="n">
        <v>43431</v>
      </c>
      <c r="C1118" s="1" t="n">
        <v>45227</v>
      </c>
      <c r="D1118" t="inlineStr">
        <is>
          <t>VÄSTRA GÖTALANDS LÄN</t>
        </is>
      </c>
      <c r="E1118" t="inlineStr">
        <is>
          <t>STRÖMSTAD</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67094-2018</t>
        </is>
      </c>
      <c r="B1119" s="1" t="n">
        <v>43431</v>
      </c>
      <c r="C1119" s="1" t="n">
        <v>45227</v>
      </c>
      <c r="D1119" t="inlineStr">
        <is>
          <t>VÄSTRA GÖTALANDS LÄN</t>
        </is>
      </c>
      <c r="E1119" t="inlineStr">
        <is>
          <t>HJO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64591-2018</t>
        </is>
      </c>
      <c r="B1120" s="1" t="n">
        <v>43431</v>
      </c>
      <c r="C1120" s="1" t="n">
        <v>45227</v>
      </c>
      <c r="D1120" t="inlineStr">
        <is>
          <t>VÄSTRA GÖTALANDS LÄN</t>
        </is>
      </c>
      <c r="E1120" t="inlineStr">
        <is>
          <t>LYSEKIL</t>
        </is>
      </c>
      <c r="G1120" t="n">
        <v>4.2</v>
      </c>
      <c r="H1120" t="n">
        <v>0</v>
      </c>
      <c r="I1120" t="n">
        <v>0</v>
      </c>
      <c r="J1120" t="n">
        <v>0</v>
      </c>
      <c r="K1120" t="n">
        <v>0</v>
      </c>
      <c r="L1120" t="n">
        <v>0</v>
      </c>
      <c r="M1120" t="n">
        <v>0</v>
      </c>
      <c r="N1120" t="n">
        <v>0</v>
      </c>
      <c r="O1120" t="n">
        <v>0</v>
      </c>
      <c r="P1120" t="n">
        <v>0</v>
      </c>
      <c r="Q1120" t="n">
        <v>0</v>
      </c>
      <c r="R1120" s="2" t="inlineStr"/>
    </row>
    <row r="1121" ht="15" customHeight="1">
      <c r="A1121" t="inlineStr">
        <is>
          <t>A 65138-2018</t>
        </is>
      </c>
      <c r="B1121" s="1" t="n">
        <v>43432</v>
      </c>
      <c r="C1121" s="1" t="n">
        <v>45227</v>
      </c>
      <c r="D1121" t="inlineStr">
        <is>
          <t>VÄSTRA GÖTALANDS LÄN</t>
        </is>
      </c>
      <c r="E1121" t="inlineStr">
        <is>
          <t>TRANEMO</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65309-2018</t>
        </is>
      </c>
      <c r="B1122" s="1" t="n">
        <v>43432</v>
      </c>
      <c r="C1122" s="1" t="n">
        <v>45227</v>
      </c>
      <c r="D1122" t="inlineStr">
        <is>
          <t>VÄSTRA GÖTALANDS LÄN</t>
        </is>
      </c>
      <c r="E1122" t="inlineStr">
        <is>
          <t>MUNKEDAL</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65347-2018</t>
        </is>
      </c>
      <c r="B1123" s="1" t="n">
        <v>43433</v>
      </c>
      <c r="C1123" s="1" t="n">
        <v>45227</v>
      </c>
      <c r="D1123" t="inlineStr">
        <is>
          <t>VÄSTRA GÖTALANDS LÄN</t>
        </is>
      </c>
      <c r="E1123" t="inlineStr">
        <is>
          <t>TIBRO</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65492-2018</t>
        </is>
      </c>
      <c r="B1124" s="1" t="n">
        <v>43433</v>
      </c>
      <c r="C1124" s="1" t="n">
        <v>45227</v>
      </c>
      <c r="D1124" t="inlineStr">
        <is>
          <t>VÄSTRA GÖTALANDS LÄN</t>
        </is>
      </c>
      <c r="E1124" t="inlineStr">
        <is>
          <t>ULRICEHAMN</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65553-2018</t>
        </is>
      </c>
      <c r="B1125" s="1" t="n">
        <v>43433</v>
      </c>
      <c r="C1125" s="1" t="n">
        <v>45227</v>
      </c>
      <c r="D1125" t="inlineStr">
        <is>
          <t>VÄSTRA GÖTALANDS LÄN</t>
        </is>
      </c>
      <c r="E1125" t="inlineStr">
        <is>
          <t>MARIESTAD</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65575-2018</t>
        </is>
      </c>
      <c r="B1126" s="1" t="n">
        <v>43433</v>
      </c>
      <c r="C1126" s="1" t="n">
        <v>45227</v>
      </c>
      <c r="D1126" t="inlineStr">
        <is>
          <t>VÄSTRA GÖTALANDS LÄN</t>
        </is>
      </c>
      <c r="E1126" t="inlineStr">
        <is>
          <t>VÅRGÅRDA</t>
        </is>
      </c>
      <c r="F1126" t="inlineStr">
        <is>
          <t>Sveaskog</t>
        </is>
      </c>
      <c r="G1126" t="n">
        <v>0.1</v>
      </c>
      <c r="H1126" t="n">
        <v>0</v>
      </c>
      <c r="I1126" t="n">
        <v>0</v>
      </c>
      <c r="J1126" t="n">
        <v>0</v>
      </c>
      <c r="K1126" t="n">
        <v>0</v>
      </c>
      <c r="L1126" t="n">
        <v>0</v>
      </c>
      <c r="M1126" t="n">
        <v>0</v>
      </c>
      <c r="N1126" t="n">
        <v>0</v>
      </c>
      <c r="O1126" t="n">
        <v>0</v>
      </c>
      <c r="P1126" t="n">
        <v>0</v>
      </c>
      <c r="Q1126" t="n">
        <v>0</v>
      </c>
      <c r="R1126" s="2" t="inlineStr"/>
    </row>
    <row r="1127" ht="15" customHeight="1">
      <c r="A1127" t="inlineStr">
        <is>
          <t>A 65582-2018</t>
        </is>
      </c>
      <c r="B1127" s="1" t="n">
        <v>43433</v>
      </c>
      <c r="C1127" s="1" t="n">
        <v>45227</v>
      </c>
      <c r="D1127" t="inlineStr">
        <is>
          <t>VÄSTRA GÖTALANDS LÄN</t>
        </is>
      </c>
      <c r="E1127" t="inlineStr">
        <is>
          <t>VÅRGÅRDA</t>
        </is>
      </c>
      <c r="F1127" t="inlineStr">
        <is>
          <t>Sveaskog</t>
        </is>
      </c>
      <c r="G1127" t="n">
        <v>1.4</v>
      </c>
      <c r="H1127" t="n">
        <v>0</v>
      </c>
      <c r="I1127" t="n">
        <v>0</v>
      </c>
      <c r="J1127" t="n">
        <v>0</v>
      </c>
      <c r="K1127" t="n">
        <v>0</v>
      </c>
      <c r="L1127" t="n">
        <v>0</v>
      </c>
      <c r="M1127" t="n">
        <v>0</v>
      </c>
      <c r="N1127" t="n">
        <v>0</v>
      </c>
      <c r="O1127" t="n">
        <v>0</v>
      </c>
      <c r="P1127" t="n">
        <v>0</v>
      </c>
      <c r="Q1127" t="n">
        <v>0</v>
      </c>
      <c r="R1127" s="2" t="inlineStr"/>
    </row>
    <row r="1128" ht="15" customHeight="1">
      <c r="A1128" t="inlineStr">
        <is>
          <t>A 65608-2018</t>
        </is>
      </c>
      <c r="B1128" s="1" t="n">
        <v>43433</v>
      </c>
      <c r="C1128" s="1" t="n">
        <v>45227</v>
      </c>
      <c r="D1128" t="inlineStr">
        <is>
          <t>VÄSTRA GÖTALANDS LÄN</t>
        </is>
      </c>
      <c r="E1128" t="inlineStr">
        <is>
          <t>MARK</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65617-2018</t>
        </is>
      </c>
      <c r="B1129" s="1" t="n">
        <v>43433</v>
      </c>
      <c r="C1129" s="1" t="n">
        <v>45227</v>
      </c>
      <c r="D1129" t="inlineStr">
        <is>
          <t>VÄSTRA GÖTALANDS LÄN</t>
        </is>
      </c>
      <c r="E1129" t="inlineStr">
        <is>
          <t>ULRICEHAMN</t>
        </is>
      </c>
      <c r="G1129" t="n">
        <v>4.2</v>
      </c>
      <c r="H1129" t="n">
        <v>0</v>
      </c>
      <c r="I1129" t="n">
        <v>0</v>
      </c>
      <c r="J1129" t="n">
        <v>0</v>
      </c>
      <c r="K1129" t="n">
        <v>0</v>
      </c>
      <c r="L1129" t="n">
        <v>0</v>
      </c>
      <c r="M1129" t="n">
        <v>0</v>
      </c>
      <c r="N1129" t="n">
        <v>0</v>
      </c>
      <c r="O1129" t="n">
        <v>0</v>
      </c>
      <c r="P1129" t="n">
        <v>0</v>
      </c>
      <c r="Q1129" t="n">
        <v>0</v>
      </c>
      <c r="R1129" s="2" t="inlineStr"/>
    </row>
    <row r="1130" ht="15" customHeight="1">
      <c r="A1130" t="inlineStr">
        <is>
          <t>A 65706-2018</t>
        </is>
      </c>
      <c r="B1130" s="1" t="n">
        <v>43433</v>
      </c>
      <c r="C1130" s="1" t="n">
        <v>45227</v>
      </c>
      <c r="D1130" t="inlineStr">
        <is>
          <t>VÄSTRA GÖTALANDS LÄN</t>
        </is>
      </c>
      <c r="E1130" t="inlineStr">
        <is>
          <t>MUNKEDAL</t>
        </is>
      </c>
      <c r="G1130" t="n">
        <v>8.699999999999999</v>
      </c>
      <c r="H1130" t="n">
        <v>0</v>
      </c>
      <c r="I1130" t="n">
        <v>0</v>
      </c>
      <c r="J1130" t="n">
        <v>0</v>
      </c>
      <c r="K1130" t="n">
        <v>0</v>
      </c>
      <c r="L1130" t="n">
        <v>0</v>
      </c>
      <c r="M1130" t="n">
        <v>0</v>
      </c>
      <c r="N1130" t="n">
        <v>0</v>
      </c>
      <c r="O1130" t="n">
        <v>0</v>
      </c>
      <c r="P1130" t="n">
        <v>0</v>
      </c>
      <c r="Q1130" t="n">
        <v>0</v>
      </c>
      <c r="R1130" s="2" t="inlineStr"/>
    </row>
    <row r="1131" ht="15" customHeight="1">
      <c r="A1131" t="inlineStr">
        <is>
          <t>A 65746-2018</t>
        </is>
      </c>
      <c r="B1131" s="1" t="n">
        <v>43433</v>
      </c>
      <c r="C1131" s="1" t="n">
        <v>45227</v>
      </c>
      <c r="D1131" t="inlineStr">
        <is>
          <t>VÄSTRA GÖTALANDS LÄN</t>
        </is>
      </c>
      <c r="E1131" t="inlineStr">
        <is>
          <t>ULRICEHAMN</t>
        </is>
      </c>
      <c r="G1131" t="n">
        <v>2.9</v>
      </c>
      <c r="H1131" t="n">
        <v>0</v>
      </c>
      <c r="I1131" t="n">
        <v>0</v>
      </c>
      <c r="J1131" t="n">
        <v>0</v>
      </c>
      <c r="K1131" t="n">
        <v>0</v>
      </c>
      <c r="L1131" t="n">
        <v>0</v>
      </c>
      <c r="M1131" t="n">
        <v>0</v>
      </c>
      <c r="N1131" t="n">
        <v>0</v>
      </c>
      <c r="O1131" t="n">
        <v>0</v>
      </c>
      <c r="P1131" t="n">
        <v>0</v>
      </c>
      <c r="Q1131" t="n">
        <v>0</v>
      </c>
      <c r="R1131" s="2" t="inlineStr"/>
    </row>
    <row r="1132" ht="15" customHeight="1">
      <c r="A1132" t="inlineStr">
        <is>
          <t>A 65830-2018</t>
        </is>
      </c>
      <c r="B1132" s="1" t="n">
        <v>43433</v>
      </c>
      <c r="C1132" s="1" t="n">
        <v>45227</v>
      </c>
      <c r="D1132" t="inlineStr">
        <is>
          <t>VÄSTRA GÖTALANDS LÄN</t>
        </is>
      </c>
      <c r="E1132" t="inlineStr">
        <is>
          <t>GRÄSTORP</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67646-2018</t>
        </is>
      </c>
      <c r="B1133" s="1" t="n">
        <v>43433</v>
      </c>
      <c r="C1133" s="1" t="n">
        <v>45227</v>
      </c>
      <c r="D1133" t="inlineStr">
        <is>
          <t>VÄSTRA GÖTALANDS LÄN</t>
        </is>
      </c>
      <c r="E1133" t="inlineStr">
        <is>
          <t>MUNKEDAL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65578-2018</t>
        </is>
      </c>
      <c r="B1134" s="1" t="n">
        <v>43433</v>
      </c>
      <c r="C1134" s="1" t="n">
        <v>45227</v>
      </c>
      <c r="D1134" t="inlineStr">
        <is>
          <t>VÄSTRA GÖTALANDS LÄN</t>
        </is>
      </c>
      <c r="E1134" t="inlineStr">
        <is>
          <t>MARIESTAD</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65613-2018</t>
        </is>
      </c>
      <c r="B1135" s="1" t="n">
        <v>43433</v>
      </c>
      <c r="C1135" s="1" t="n">
        <v>45227</v>
      </c>
      <c r="D1135" t="inlineStr">
        <is>
          <t>VÄSTRA GÖTALANDS LÄN</t>
        </is>
      </c>
      <c r="E1135" t="inlineStr">
        <is>
          <t>MARK</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65710-2018</t>
        </is>
      </c>
      <c r="B1136" s="1" t="n">
        <v>43433</v>
      </c>
      <c r="C1136" s="1" t="n">
        <v>45227</v>
      </c>
      <c r="D1136" t="inlineStr">
        <is>
          <t>VÄSTRA GÖTALANDS LÄN</t>
        </is>
      </c>
      <c r="E1136" t="inlineStr">
        <is>
          <t>TANUM</t>
        </is>
      </c>
      <c r="G1136" t="n">
        <v>3.3</v>
      </c>
      <c r="H1136" t="n">
        <v>0</v>
      </c>
      <c r="I1136" t="n">
        <v>0</v>
      </c>
      <c r="J1136" t="n">
        <v>0</v>
      </c>
      <c r="K1136" t="n">
        <v>0</v>
      </c>
      <c r="L1136" t="n">
        <v>0</v>
      </c>
      <c r="M1136" t="n">
        <v>0</v>
      </c>
      <c r="N1136" t="n">
        <v>0</v>
      </c>
      <c r="O1136" t="n">
        <v>0</v>
      </c>
      <c r="P1136" t="n">
        <v>0</v>
      </c>
      <c r="Q1136" t="n">
        <v>0</v>
      </c>
      <c r="R1136" s="2" t="inlineStr"/>
    </row>
    <row r="1137" ht="15" customHeight="1">
      <c r="A1137" t="inlineStr">
        <is>
          <t>A 65765-2018</t>
        </is>
      </c>
      <c r="B1137" s="1" t="n">
        <v>43433</v>
      </c>
      <c r="C1137" s="1" t="n">
        <v>45227</v>
      </c>
      <c r="D1137" t="inlineStr">
        <is>
          <t>VÄSTRA GÖTALANDS LÄN</t>
        </is>
      </c>
      <c r="E1137" t="inlineStr">
        <is>
          <t>STRÖMSTAD</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65787-2018</t>
        </is>
      </c>
      <c r="B1138" s="1" t="n">
        <v>43433</v>
      </c>
      <c r="C1138" s="1" t="n">
        <v>45227</v>
      </c>
      <c r="D1138" t="inlineStr">
        <is>
          <t>VÄSTRA GÖTALANDS LÄN</t>
        </is>
      </c>
      <c r="E1138" t="inlineStr">
        <is>
          <t>TRANEMO</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65797-2018</t>
        </is>
      </c>
      <c r="B1139" s="1" t="n">
        <v>43433</v>
      </c>
      <c r="C1139" s="1" t="n">
        <v>45227</v>
      </c>
      <c r="D1139" t="inlineStr">
        <is>
          <t>VÄSTRA GÖTALANDS LÄN</t>
        </is>
      </c>
      <c r="E1139" t="inlineStr">
        <is>
          <t>LIDKÖPING</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65459-2018</t>
        </is>
      </c>
      <c r="B1140" s="1" t="n">
        <v>43433</v>
      </c>
      <c r="C1140" s="1" t="n">
        <v>45227</v>
      </c>
      <c r="D1140" t="inlineStr">
        <is>
          <t>VÄSTRA GÖTALANDS LÄN</t>
        </is>
      </c>
      <c r="E1140" t="inlineStr">
        <is>
          <t>SVENLJUNGA</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65621-2018</t>
        </is>
      </c>
      <c r="B1141" s="1" t="n">
        <v>43433</v>
      </c>
      <c r="C1141" s="1" t="n">
        <v>45227</v>
      </c>
      <c r="D1141" t="inlineStr">
        <is>
          <t>VÄSTRA GÖTALANDS LÄN</t>
        </is>
      </c>
      <c r="E1141" t="inlineStr">
        <is>
          <t>MARK</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65686-2018</t>
        </is>
      </c>
      <c r="B1142" s="1" t="n">
        <v>43433</v>
      </c>
      <c r="C1142" s="1" t="n">
        <v>45227</v>
      </c>
      <c r="D1142" t="inlineStr">
        <is>
          <t>VÄSTRA GÖTALANDS LÄN</t>
        </is>
      </c>
      <c r="E1142" t="inlineStr">
        <is>
          <t>TANUM</t>
        </is>
      </c>
      <c r="G1142" t="n">
        <v>5.1</v>
      </c>
      <c r="H1142" t="n">
        <v>0</v>
      </c>
      <c r="I1142" t="n">
        <v>0</v>
      </c>
      <c r="J1142" t="n">
        <v>0</v>
      </c>
      <c r="K1142" t="n">
        <v>0</v>
      </c>
      <c r="L1142" t="n">
        <v>0</v>
      </c>
      <c r="M1142" t="n">
        <v>0</v>
      </c>
      <c r="N1142" t="n">
        <v>0</v>
      </c>
      <c r="O1142" t="n">
        <v>0</v>
      </c>
      <c r="P1142" t="n">
        <v>0</v>
      </c>
      <c r="Q1142" t="n">
        <v>0</v>
      </c>
      <c r="R1142" s="2" t="inlineStr"/>
    </row>
    <row r="1143" ht="15" customHeight="1">
      <c r="A1143" t="inlineStr">
        <is>
          <t>A 65726-2018</t>
        </is>
      </c>
      <c r="B1143" s="1" t="n">
        <v>43433</v>
      </c>
      <c r="C1143" s="1" t="n">
        <v>45227</v>
      </c>
      <c r="D1143" t="inlineStr">
        <is>
          <t>VÄSTRA GÖTALANDS LÄN</t>
        </is>
      </c>
      <c r="E1143" t="inlineStr">
        <is>
          <t>MARK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65755-2018</t>
        </is>
      </c>
      <c r="B1144" s="1" t="n">
        <v>43433</v>
      </c>
      <c r="C1144" s="1" t="n">
        <v>45227</v>
      </c>
      <c r="D1144" t="inlineStr">
        <is>
          <t>VÄSTRA GÖTALANDS LÄN</t>
        </is>
      </c>
      <c r="E1144" t="inlineStr">
        <is>
          <t>TANUM</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65789-2018</t>
        </is>
      </c>
      <c r="B1145" s="1" t="n">
        <v>43433</v>
      </c>
      <c r="C1145" s="1" t="n">
        <v>45227</v>
      </c>
      <c r="D1145" t="inlineStr">
        <is>
          <t>VÄSTRA GÖTALANDS LÄN</t>
        </is>
      </c>
      <c r="E1145" t="inlineStr">
        <is>
          <t>VÅRGÅRDA</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65349-2018</t>
        </is>
      </c>
      <c r="B1146" s="1" t="n">
        <v>43433</v>
      </c>
      <c r="C1146" s="1" t="n">
        <v>45227</v>
      </c>
      <c r="D1146" t="inlineStr">
        <is>
          <t>VÄSTRA GÖTALANDS LÄN</t>
        </is>
      </c>
      <c r="E1146" t="inlineStr">
        <is>
          <t>TIBRO</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65452-2018</t>
        </is>
      </c>
      <c r="B1147" s="1" t="n">
        <v>43433</v>
      </c>
      <c r="C1147" s="1" t="n">
        <v>45227</v>
      </c>
      <c r="D1147" t="inlineStr">
        <is>
          <t>VÄSTRA GÖTALANDS LÄN</t>
        </is>
      </c>
      <c r="E1147" t="inlineStr">
        <is>
          <t>SVENLJUNGA</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65577-2018</t>
        </is>
      </c>
      <c r="B1148" s="1" t="n">
        <v>43433</v>
      </c>
      <c r="C1148" s="1" t="n">
        <v>45227</v>
      </c>
      <c r="D1148" t="inlineStr">
        <is>
          <t>VÄSTRA GÖTALANDS LÄN</t>
        </is>
      </c>
      <c r="E1148" t="inlineStr">
        <is>
          <t>VÅRGÅRDA</t>
        </is>
      </c>
      <c r="F1148" t="inlineStr">
        <is>
          <t>Sveaskog</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65719-2018</t>
        </is>
      </c>
      <c r="B1149" s="1" t="n">
        <v>43433</v>
      </c>
      <c r="C1149" s="1" t="n">
        <v>45227</v>
      </c>
      <c r="D1149" t="inlineStr">
        <is>
          <t>VÄSTRA GÖTALANDS LÄN</t>
        </is>
      </c>
      <c r="E1149" t="inlineStr">
        <is>
          <t>MARK</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65786-2018</t>
        </is>
      </c>
      <c r="B1150" s="1" t="n">
        <v>43433</v>
      </c>
      <c r="C1150" s="1" t="n">
        <v>45227</v>
      </c>
      <c r="D1150" t="inlineStr">
        <is>
          <t>VÄSTRA GÖTALANDS LÄN</t>
        </is>
      </c>
      <c r="E1150" t="inlineStr">
        <is>
          <t>TRANEMO</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17032-2019</t>
        </is>
      </c>
      <c r="B1151" s="1" t="n">
        <v>43433</v>
      </c>
      <c r="C1151" s="1" t="n">
        <v>45227</v>
      </c>
      <c r="D1151" t="inlineStr">
        <is>
          <t>VÄSTRA GÖTALANDS LÄN</t>
        </is>
      </c>
      <c r="E1151" t="inlineStr">
        <is>
          <t>GRÄSTORP</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65903-2018</t>
        </is>
      </c>
      <c r="B1152" s="1" t="n">
        <v>43434</v>
      </c>
      <c r="C1152" s="1" t="n">
        <v>45227</v>
      </c>
      <c r="D1152" t="inlineStr">
        <is>
          <t>VÄSTRA GÖTALANDS LÄN</t>
        </is>
      </c>
      <c r="E1152" t="inlineStr">
        <is>
          <t>TIDAHOLM</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65941-2018</t>
        </is>
      </c>
      <c r="B1153" s="1" t="n">
        <v>43434</v>
      </c>
      <c r="C1153" s="1" t="n">
        <v>45227</v>
      </c>
      <c r="D1153" t="inlineStr">
        <is>
          <t>VÄSTRA GÖTALANDS LÄN</t>
        </is>
      </c>
      <c r="E1153" t="inlineStr">
        <is>
          <t>FÄRGELANDA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66029-2018</t>
        </is>
      </c>
      <c r="B1154" s="1" t="n">
        <v>43434</v>
      </c>
      <c r="C1154" s="1" t="n">
        <v>45227</v>
      </c>
      <c r="D1154" t="inlineStr">
        <is>
          <t>VÄSTRA GÖTALANDS LÄN</t>
        </is>
      </c>
      <c r="E1154" t="inlineStr">
        <is>
          <t>MELLERUD</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66049-2018</t>
        </is>
      </c>
      <c r="B1155" s="1" t="n">
        <v>43434</v>
      </c>
      <c r="C1155" s="1" t="n">
        <v>45227</v>
      </c>
      <c r="D1155" t="inlineStr">
        <is>
          <t>VÄSTRA GÖTALANDS LÄN</t>
        </is>
      </c>
      <c r="E1155" t="inlineStr">
        <is>
          <t>ULRICEHAMN</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66147-2018</t>
        </is>
      </c>
      <c r="B1156" s="1" t="n">
        <v>43434</v>
      </c>
      <c r="C1156" s="1" t="n">
        <v>45227</v>
      </c>
      <c r="D1156" t="inlineStr">
        <is>
          <t>VÄSTRA GÖTALANDS LÄN</t>
        </is>
      </c>
      <c r="E1156" t="inlineStr">
        <is>
          <t>TROLLHÄTTAN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67684-2018</t>
        </is>
      </c>
      <c r="B1157" s="1" t="n">
        <v>43434</v>
      </c>
      <c r="C1157" s="1" t="n">
        <v>45227</v>
      </c>
      <c r="D1157" t="inlineStr">
        <is>
          <t>VÄSTRA GÖTALANDS LÄN</t>
        </is>
      </c>
      <c r="E1157" t="inlineStr">
        <is>
          <t>STRÖMSTAD</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67858-2018</t>
        </is>
      </c>
      <c r="B1158" s="1" t="n">
        <v>43434</v>
      </c>
      <c r="C1158" s="1" t="n">
        <v>45227</v>
      </c>
      <c r="D1158" t="inlineStr">
        <is>
          <t>VÄSTRA GÖTALANDS LÄN</t>
        </is>
      </c>
      <c r="E1158" t="inlineStr">
        <is>
          <t>KARLSBORG</t>
        </is>
      </c>
      <c r="G1158" t="n">
        <v>1.5</v>
      </c>
      <c r="H1158" t="n">
        <v>0</v>
      </c>
      <c r="I1158" t="n">
        <v>0</v>
      </c>
      <c r="J1158" t="n">
        <v>0</v>
      </c>
      <c r="K1158" t="n">
        <v>0</v>
      </c>
      <c r="L1158" t="n">
        <v>0</v>
      </c>
      <c r="M1158" t="n">
        <v>0</v>
      </c>
      <c r="N1158" t="n">
        <v>0</v>
      </c>
      <c r="O1158" t="n">
        <v>0</v>
      </c>
      <c r="P1158" t="n">
        <v>0</v>
      </c>
      <c r="Q1158" t="n">
        <v>0</v>
      </c>
      <c r="R1158" s="2" t="inlineStr"/>
    </row>
    <row r="1159" ht="15" customHeight="1">
      <c r="A1159" t="inlineStr">
        <is>
          <t>A 66050-2018</t>
        </is>
      </c>
      <c r="B1159" s="1" t="n">
        <v>43434</v>
      </c>
      <c r="C1159" s="1" t="n">
        <v>45227</v>
      </c>
      <c r="D1159" t="inlineStr">
        <is>
          <t>VÄSTRA GÖTALANDS LÄN</t>
        </is>
      </c>
      <c r="E1159" t="inlineStr">
        <is>
          <t>MELLERUD</t>
        </is>
      </c>
      <c r="G1159" t="n">
        <v>13.7</v>
      </c>
      <c r="H1159" t="n">
        <v>0</v>
      </c>
      <c r="I1159" t="n">
        <v>0</v>
      </c>
      <c r="J1159" t="n">
        <v>0</v>
      </c>
      <c r="K1159" t="n">
        <v>0</v>
      </c>
      <c r="L1159" t="n">
        <v>0</v>
      </c>
      <c r="M1159" t="n">
        <v>0</v>
      </c>
      <c r="N1159" t="n">
        <v>0</v>
      </c>
      <c r="O1159" t="n">
        <v>0</v>
      </c>
      <c r="P1159" t="n">
        <v>0</v>
      </c>
      <c r="Q1159" t="n">
        <v>0</v>
      </c>
      <c r="R1159" s="2" t="inlineStr"/>
    </row>
    <row r="1160" ht="15" customHeight="1">
      <c r="A1160" t="inlineStr">
        <is>
          <t>A 66068-2018</t>
        </is>
      </c>
      <c r="B1160" s="1" t="n">
        <v>43434</v>
      </c>
      <c r="C1160" s="1" t="n">
        <v>45227</v>
      </c>
      <c r="D1160" t="inlineStr">
        <is>
          <t>VÄSTRA GÖTALANDS LÄN</t>
        </is>
      </c>
      <c r="E1160" t="inlineStr">
        <is>
          <t>MELLERUD</t>
        </is>
      </c>
      <c r="G1160" t="n">
        <v>6.7</v>
      </c>
      <c r="H1160" t="n">
        <v>0</v>
      </c>
      <c r="I1160" t="n">
        <v>0</v>
      </c>
      <c r="J1160" t="n">
        <v>0</v>
      </c>
      <c r="K1160" t="n">
        <v>0</v>
      </c>
      <c r="L1160" t="n">
        <v>0</v>
      </c>
      <c r="M1160" t="n">
        <v>0</v>
      </c>
      <c r="N1160" t="n">
        <v>0</v>
      </c>
      <c r="O1160" t="n">
        <v>0</v>
      </c>
      <c r="P1160" t="n">
        <v>0</v>
      </c>
      <c r="Q1160" t="n">
        <v>0</v>
      </c>
      <c r="R1160" s="2" t="inlineStr"/>
    </row>
    <row r="1161" ht="15" customHeight="1">
      <c r="A1161" t="inlineStr">
        <is>
          <t>A 66151-2018</t>
        </is>
      </c>
      <c r="B1161" s="1" t="n">
        <v>43434</v>
      </c>
      <c r="C1161" s="1" t="n">
        <v>45227</v>
      </c>
      <c r="D1161" t="inlineStr">
        <is>
          <t>VÄSTRA GÖTALANDS LÄN</t>
        </is>
      </c>
      <c r="E1161" t="inlineStr">
        <is>
          <t>LIDKÖPING</t>
        </is>
      </c>
      <c r="G1161" t="n">
        <v>3.9</v>
      </c>
      <c r="H1161" t="n">
        <v>0</v>
      </c>
      <c r="I1161" t="n">
        <v>0</v>
      </c>
      <c r="J1161" t="n">
        <v>0</v>
      </c>
      <c r="K1161" t="n">
        <v>0</v>
      </c>
      <c r="L1161" t="n">
        <v>0</v>
      </c>
      <c r="M1161" t="n">
        <v>0</v>
      </c>
      <c r="N1161" t="n">
        <v>0</v>
      </c>
      <c r="O1161" t="n">
        <v>0</v>
      </c>
      <c r="P1161" t="n">
        <v>0</v>
      </c>
      <c r="Q1161" t="n">
        <v>0</v>
      </c>
      <c r="R1161" s="2" t="inlineStr"/>
    </row>
    <row r="1162" ht="15" customHeight="1">
      <c r="A1162" t="inlineStr">
        <is>
          <t>A 66175-2018</t>
        </is>
      </c>
      <c r="B1162" s="1" t="n">
        <v>43434</v>
      </c>
      <c r="C1162" s="1" t="n">
        <v>45227</v>
      </c>
      <c r="D1162" t="inlineStr">
        <is>
          <t>VÄSTRA GÖTALANDS LÄN</t>
        </is>
      </c>
      <c r="E1162" t="inlineStr">
        <is>
          <t>SKÖVDE</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65913-2018</t>
        </is>
      </c>
      <c r="B1163" s="1" t="n">
        <v>43434</v>
      </c>
      <c r="C1163" s="1" t="n">
        <v>45227</v>
      </c>
      <c r="D1163" t="inlineStr">
        <is>
          <t>VÄSTRA GÖTALANDS LÄN</t>
        </is>
      </c>
      <c r="E1163" t="inlineStr">
        <is>
          <t>TIDAHOLM</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65934-2018</t>
        </is>
      </c>
      <c r="B1164" s="1" t="n">
        <v>43434</v>
      </c>
      <c r="C1164" s="1" t="n">
        <v>45227</v>
      </c>
      <c r="D1164" t="inlineStr">
        <is>
          <t>VÄSTRA GÖTALANDS LÄN</t>
        </is>
      </c>
      <c r="E1164" t="inlineStr">
        <is>
          <t>FÄRGELANDA</t>
        </is>
      </c>
      <c r="G1164" t="n">
        <v>3.2</v>
      </c>
      <c r="H1164" t="n">
        <v>0</v>
      </c>
      <c r="I1164" t="n">
        <v>0</v>
      </c>
      <c r="J1164" t="n">
        <v>0</v>
      </c>
      <c r="K1164" t="n">
        <v>0</v>
      </c>
      <c r="L1164" t="n">
        <v>0</v>
      </c>
      <c r="M1164" t="n">
        <v>0</v>
      </c>
      <c r="N1164" t="n">
        <v>0</v>
      </c>
      <c r="O1164" t="n">
        <v>0</v>
      </c>
      <c r="P1164" t="n">
        <v>0</v>
      </c>
      <c r="Q1164" t="n">
        <v>0</v>
      </c>
      <c r="R1164" s="2" t="inlineStr"/>
    </row>
    <row r="1165" ht="15" customHeight="1">
      <c r="A1165" t="inlineStr">
        <is>
          <t>A 65952-2018</t>
        </is>
      </c>
      <c r="B1165" s="1" t="n">
        <v>43434</v>
      </c>
      <c r="C1165" s="1" t="n">
        <v>45227</v>
      </c>
      <c r="D1165" t="inlineStr">
        <is>
          <t>VÄSTRA GÖTALANDS LÄN</t>
        </is>
      </c>
      <c r="E1165" t="inlineStr">
        <is>
          <t>MELLERUD</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66069-2018</t>
        </is>
      </c>
      <c r="B1166" s="1" t="n">
        <v>43434</v>
      </c>
      <c r="C1166" s="1" t="n">
        <v>45227</v>
      </c>
      <c r="D1166" t="inlineStr">
        <is>
          <t>VÄSTRA GÖTALANDS LÄN</t>
        </is>
      </c>
      <c r="E1166" t="inlineStr">
        <is>
          <t>GRÄSTORP</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67720-2018</t>
        </is>
      </c>
      <c r="B1167" s="1" t="n">
        <v>43434</v>
      </c>
      <c r="C1167" s="1" t="n">
        <v>45227</v>
      </c>
      <c r="D1167" t="inlineStr">
        <is>
          <t>VÄSTRA GÖTALANDS LÄN</t>
        </is>
      </c>
      <c r="E1167" t="inlineStr">
        <is>
          <t>SKÖVDE</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67864-2018</t>
        </is>
      </c>
      <c r="B1168" s="1" t="n">
        <v>43434</v>
      </c>
      <c r="C1168" s="1" t="n">
        <v>45227</v>
      </c>
      <c r="D1168" t="inlineStr">
        <is>
          <t>VÄSTRA GÖTALANDS LÄN</t>
        </is>
      </c>
      <c r="E1168" t="inlineStr">
        <is>
          <t>KARLSBORG</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66044-2018</t>
        </is>
      </c>
      <c r="B1169" s="1" t="n">
        <v>43434</v>
      </c>
      <c r="C1169" s="1" t="n">
        <v>45227</v>
      </c>
      <c r="D1169" t="inlineStr">
        <is>
          <t>VÄSTRA GÖTALANDS LÄN</t>
        </is>
      </c>
      <c r="E1169" t="inlineStr">
        <is>
          <t>BORÅS</t>
        </is>
      </c>
      <c r="G1169" t="n">
        <v>8.699999999999999</v>
      </c>
      <c r="H1169" t="n">
        <v>0</v>
      </c>
      <c r="I1169" t="n">
        <v>0</v>
      </c>
      <c r="J1169" t="n">
        <v>0</v>
      </c>
      <c r="K1169" t="n">
        <v>0</v>
      </c>
      <c r="L1169" t="n">
        <v>0</v>
      </c>
      <c r="M1169" t="n">
        <v>0</v>
      </c>
      <c r="N1169" t="n">
        <v>0</v>
      </c>
      <c r="O1169" t="n">
        <v>0</v>
      </c>
      <c r="P1169" t="n">
        <v>0</v>
      </c>
      <c r="Q1169" t="n">
        <v>0</v>
      </c>
      <c r="R1169" s="2" t="inlineStr"/>
    </row>
    <row r="1170" ht="15" customHeight="1">
      <c r="A1170" t="inlineStr">
        <is>
          <t>A 67723-2018</t>
        </is>
      </c>
      <c r="B1170" s="1" t="n">
        <v>43434</v>
      </c>
      <c r="C1170" s="1" t="n">
        <v>45227</v>
      </c>
      <c r="D1170" t="inlineStr">
        <is>
          <t>VÄSTRA GÖTALANDS LÄN</t>
        </is>
      </c>
      <c r="E1170" t="inlineStr">
        <is>
          <t>HJO</t>
        </is>
      </c>
      <c r="G1170" t="n">
        <v>1.9</v>
      </c>
      <c r="H1170" t="n">
        <v>0</v>
      </c>
      <c r="I1170" t="n">
        <v>0</v>
      </c>
      <c r="J1170" t="n">
        <v>0</v>
      </c>
      <c r="K1170" t="n">
        <v>0</v>
      </c>
      <c r="L1170" t="n">
        <v>0</v>
      </c>
      <c r="M1170" t="n">
        <v>0</v>
      </c>
      <c r="N1170" t="n">
        <v>0</v>
      </c>
      <c r="O1170" t="n">
        <v>0</v>
      </c>
      <c r="P1170" t="n">
        <v>0</v>
      </c>
      <c r="Q1170" t="n">
        <v>0</v>
      </c>
      <c r="R1170" s="2" t="inlineStr"/>
    </row>
    <row r="1171" ht="15" customHeight="1">
      <c r="A1171" t="inlineStr">
        <is>
          <t>A 67739-2018</t>
        </is>
      </c>
      <c r="B1171" s="1" t="n">
        <v>43434</v>
      </c>
      <c r="C1171" s="1" t="n">
        <v>45227</v>
      </c>
      <c r="D1171" t="inlineStr">
        <is>
          <t>VÄSTRA GÖTALANDS LÄN</t>
        </is>
      </c>
      <c r="E1171" t="inlineStr">
        <is>
          <t>DALS-ED</t>
        </is>
      </c>
      <c r="F1171" t="inlineStr">
        <is>
          <t>Bergvik skog väst AB</t>
        </is>
      </c>
      <c r="G1171" t="n">
        <v>11.5</v>
      </c>
      <c r="H1171" t="n">
        <v>0</v>
      </c>
      <c r="I1171" t="n">
        <v>0</v>
      </c>
      <c r="J1171" t="n">
        <v>0</v>
      </c>
      <c r="K1171" t="n">
        <v>0</v>
      </c>
      <c r="L1171" t="n">
        <v>0</v>
      </c>
      <c r="M1171" t="n">
        <v>0</v>
      </c>
      <c r="N1171" t="n">
        <v>0</v>
      </c>
      <c r="O1171" t="n">
        <v>0</v>
      </c>
      <c r="P1171" t="n">
        <v>0</v>
      </c>
      <c r="Q1171" t="n">
        <v>0</v>
      </c>
      <c r="R1171" s="2" t="inlineStr"/>
    </row>
    <row r="1172" ht="15" customHeight="1">
      <c r="A1172" t="inlineStr">
        <is>
          <t>A 67872-2018</t>
        </is>
      </c>
      <c r="B1172" s="1" t="n">
        <v>43434</v>
      </c>
      <c r="C1172" s="1" t="n">
        <v>45227</v>
      </c>
      <c r="D1172" t="inlineStr">
        <is>
          <t>VÄSTRA GÖTALANDS LÄN</t>
        </is>
      </c>
      <c r="E1172" t="inlineStr">
        <is>
          <t>TANUM</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66353-2018</t>
        </is>
      </c>
      <c r="B1173" s="1" t="n">
        <v>43436</v>
      </c>
      <c r="C1173" s="1" t="n">
        <v>45227</v>
      </c>
      <c r="D1173" t="inlineStr">
        <is>
          <t>VÄSTRA GÖTALANDS LÄN</t>
        </is>
      </c>
      <c r="E1173" t="inlineStr">
        <is>
          <t>ULRICEHAMN</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66361-2018</t>
        </is>
      </c>
      <c r="B1174" s="1" t="n">
        <v>43436</v>
      </c>
      <c r="C1174" s="1" t="n">
        <v>45227</v>
      </c>
      <c r="D1174" t="inlineStr">
        <is>
          <t>VÄSTRA GÖTALANDS LÄN</t>
        </is>
      </c>
      <c r="E1174" t="inlineStr">
        <is>
          <t>ÅMÅL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66355-2018</t>
        </is>
      </c>
      <c r="B1175" s="1" t="n">
        <v>43436</v>
      </c>
      <c r="C1175" s="1" t="n">
        <v>45227</v>
      </c>
      <c r="D1175" t="inlineStr">
        <is>
          <t>VÄSTRA GÖTALANDS LÄN</t>
        </is>
      </c>
      <c r="E1175" t="inlineStr">
        <is>
          <t>MARK</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66362-2018</t>
        </is>
      </c>
      <c r="B1176" s="1" t="n">
        <v>43436</v>
      </c>
      <c r="C1176" s="1" t="n">
        <v>45227</v>
      </c>
      <c r="D1176" t="inlineStr">
        <is>
          <t>VÄSTRA GÖTALANDS LÄN</t>
        </is>
      </c>
      <c r="E1176" t="inlineStr">
        <is>
          <t>ÅMÅL</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66422-2018</t>
        </is>
      </c>
      <c r="B1177" s="1" t="n">
        <v>43437</v>
      </c>
      <c r="C1177" s="1" t="n">
        <v>45227</v>
      </c>
      <c r="D1177" t="inlineStr">
        <is>
          <t>VÄSTRA GÖTALANDS LÄN</t>
        </is>
      </c>
      <c r="E1177" t="inlineStr">
        <is>
          <t>SVENLJUNGA</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66803-2018</t>
        </is>
      </c>
      <c r="B1178" s="1" t="n">
        <v>43437</v>
      </c>
      <c r="C1178" s="1" t="n">
        <v>45227</v>
      </c>
      <c r="D1178" t="inlineStr">
        <is>
          <t>VÄSTRA GÖTALANDS LÄN</t>
        </is>
      </c>
      <c r="E1178" t="inlineStr">
        <is>
          <t>ULRICEHAMN</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68172-2018</t>
        </is>
      </c>
      <c r="B1179" s="1" t="n">
        <v>43437</v>
      </c>
      <c r="C1179" s="1" t="n">
        <v>45227</v>
      </c>
      <c r="D1179" t="inlineStr">
        <is>
          <t>VÄSTRA GÖTALANDS LÄN</t>
        </is>
      </c>
      <c r="E1179" t="inlineStr">
        <is>
          <t>SOTENÄS</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66694-2018</t>
        </is>
      </c>
      <c r="B1180" s="1" t="n">
        <v>43437</v>
      </c>
      <c r="C1180" s="1" t="n">
        <v>45227</v>
      </c>
      <c r="D1180" t="inlineStr">
        <is>
          <t>VÄSTRA GÖTALANDS LÄN</t>
        </is>
      </c>
      <c r="E1180" t="inlineStr">
        <is>
          <t>MELLERUD</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66765-2018</t>
        </is>
      </c>
      <c r="B1181" s="1" t="n">
        <v>43437</v>
      </c>
      <c r="C1181" s="1" t="n">
        <v>45227</v>
      </c>
      <c r="D1181" t="inlineStr">
        <is>
          <t>VÄSTRA GÖTALANDS LÄN</t>
        </is>
      </c>
      <c r="E1181" t="inlineStr">
        <is>
          <t>SKARA</t>
        </is>
      </c>
      <c r="F1181" t="inlineStr">
        <is>
          <t>Kyrkan</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66800-2018</t>
        </is>
      </c>
      <c r="B1182" s="1" t="n">
        <v>43437</v>
      </c>
      <c r="C1182" s="1" t="n">
        <v>45227</v>
      </c>
      <c r="D1182" t="inlineStr">
        <is>
          <t>VÄSTRA GÖTALANDS LÄN</t>
        </is>
      </c>
      <c r="E1182" t="inlineStr">
        <is>
          <t>MUNKEDAL</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68169-2018</t>
        </is>
      </c>
      <c r="B1183" s="1" t="n">
        <v>43437</v>
      </c>
      <c r="C1183" s="1" t="n">
        <v>45227</v>
      </c>
      <c r="D1183" t="inlineStr">
        <is>
          <t>VÄSTRA GÖTALANDS LÄN</t>
        </is>
      </c>
      <c r="E1183" t="inlineStr">
        <is>
          <t>SOTENÄS</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68194-2018</t>
        </is>
      </c>
      <c r="B1184" s="1" t="n">
        <v>43437</v>
      </c>
      <c r="C1184" s="1" t="n">
        <v>45227</v>
      </c>
      <c r="D1184" t="inlineStr">
        <is>
          <t>VÄSTRA GÖTALANDS LÄN</t>
        </is>
      </c>
      <c r="E1184" t="inlineStr">
        <is>
          <t>FÄRGELANDA</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66553-2018</t>
        </is>
      </c>
      <c r="B1185" s="1" t="n">
        <v>43437</v>
      </c>
      <c r="C1185" s="1" t="n">
        <v>45227</v>
      </c>
      <c r="D1185" t="inlineStr">
        <is>
          <t>VÄSTRA GÖTALANDS LÄN</t>
        </is>
      </c>
      <c r="E1185" t="inlineStr">
        <is>
          <t>MELLERUD</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66727-2018</t>
        </is>
      </c>
      <c r="B1186" s="1" t="n">
        <v>43437</v>
      </c>
      <c r="C1186" s="1" t="n">
        <v>45227</v>
      </c>
      <c r="D1186" t="inlineStr">
        <is>
          <t>VÄSTRA GÖTALANDS LÄN</t>
        </is>
      </c>
      <c r="E1186" t="inlineStr">
        <is>
          <t>TROLLHÄTTAN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66758-2018</t>
        </is>
      </c>
      <c r="B1187" s="1" t="n">
        <v>43437</v>
      </c>
      <c r="C1187" s="1" t="n">
        <v>45227</v>
      </c>
      <c r="D1187" t="inlineStr">
        <is>
          <t>VÄSTRA GÖTALANDS LÄN</t>
        </is>
      </c>
      <c r="E1187" t="inlineStr">
        <is>
          <t>TROLLHÄTTAN</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68087-2018</t>
        </is>
      </c>
      <c r="B1188" s="1" t="n">
        <v>43437</v>
      </c>
      <c r="C1188" s="1" t="n">
        <v>45227</v>
      </c>
      <c r="D1188" t="inlineStr">
        <is>
          <t>VÄSTRA GÖTALANDS LÄN</t>
        </is>
      </c>
      <c r="E1188" t="inlineStr">
        <is>
          <t>HJO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68174-2018</t>
        </is>
      </c>
      <c r="B1189" s="1" t="n">
        <v>43437</v>
      </c>
      <c r="C1189" s="1" t="n">
        <v>45227</v>
      </c>
      <c r="D1189" t="inlineStr">
        <is>
          <t>VÄSTRA GÖTALANDS LÄN</t>
        </is>
      </c>
      <c r="E1189" t="inlineStr">
        <is>
          <t>TÖREBODA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66400-2018</t>
        </is>
      </c>
      <c r="B1190" s="1" t="n">
        <v>43437</v>
      </c>
      <c r="C1190" s="1" t="n">
        <v>45227</v>
      </c>
      <c r="D1190" t="inlineStr">
        <is>
          <t>VÄSTRA GÖTALANDS LÄN</t>
        </is>
      </c>
      <c r="E1190" t="inlineStr">
        <is>
          <t>GRÄSTORP</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66457-2018</t>
        </is>
      </c>
      <c r="B1191" s="1" t="n">
        <v>43437</v>
      </c>
      <c r="C1191" s="1" t="n">
        <v>45227</v>
      </c>
      <c r="D1191" t="inlineStr">
        <is>
          <t>VÄSTRA GÖTALANDS LÄN</t>
        </is>
      </c>
      <c r="E1191" t="inlineStr">
        <is>
          <t>KARLSBORG</t>
        </is>
      </c>
      <c r="F1191" t="inlineStr">
        <is>
          <t>Övriga Aktiebolag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66554-2018</t>
        </is>
      </c>
      <c r="B1192" s="1" t="n">
        <v>43437</v>
      </c>
      <c r="C1192" s="1" t="n">
        <v>45227</v>
      </c>
      <c r="D1192" t="inlineStr">
        <is>
          <t>VÄSTRA GÖTALANDS LÄN</t>
        </is>
      </c>
      <c r="E1192" t="inlineStr">
        <is>
          <t>SVENLJUNGA</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66568-2018</t>
        </is>
      </c>
      <c r="B1193" s="1" t="n">
        <v>43437</v>
      </c>
      <c r="C1193" s="1" t="n">
        <v>45227</v>
      </c>
      <c r="D1193" t="inlineStr">
        <is>
          <t>VÄSTRA GÖTALANDS LÄN</t>
        </is>
      </c>
      <c r="E1193" t="inlineStr">
        <is>
          <t>LERUM</t>
        </is>
      </c>
      <c r="G1193" t="n">
        <v>6.4</v>
      </c>
      <c r="H1193" t="n">
        <v>0</v>
      </c>
      <c r="I1193" t="n">
        <v>0</v>
      </c>
      <c r="J1193" t="n">
        <v>0</v>
      </c>
      <c r="K1193" t="n">
        <v>0</v>
      </c>
      <c r="L1193" t="n">
        <v>0</v>
      </c>
      <c r="M1193" t="n">
        <v>0</v>
      </c>
      <c r="N1193" t="n">
        <v>0</v>
      </c>
      <c r="O1193" t="n">
        <v>0</v>
      </c>
      <c r="P1193" t="n">
        <v>0</v>
      </c>
      <c r="Q1193" t="n">
        <v>0</v>
      </c>
      <c r="R1193" s="2" t="inlineStr"/>
    </row>
    <row r="1194" ht="15" customHeight="1">
      <c r="A1194" t="inlineStr">
        <is>
          <t>A 66791-2018</t>
        </is>
      </c>
      <c r="B1194" s="1" t="n">
        <v>43437</v>
      </c>
      <c r="C1194" s="1" t="n">
        <v>45227</v>
      </c>
      <c r="D1194" t="inlineStr">
        <is>
          <t>VÄSTRA GÖTALANDS LÄN</t>
        </is>
      </c>
      <c r="E1194" t="inlineStr">
        <is>
          <t>VARA</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68163-2018</t>
        </is>
      </c>
      <c r="B1195" s="1" t="n">
        <v>43437</v>
      </c>
      <c r="C1195" s="1" t="n">
        <v>45227</v>
      </c>
      <c r="D1195" t="inlineStr">
        <is>
          <t>VÄSTRA GÖTALANDS LÄN</t>
        </is>
      </c>
      <c r="E1195" t="inlineStr">
        <is>
          <t>SOTENÄS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66997-2018</t>
        </is>
      </c>
      <c r="B1196" s="1" t="n">
        <v>43438</v>
      </c>
      <c r="C1196" s="1" t="n">
        <v>45227</v>
      </c>
      <c r="D1196" t="inlineStr">
        <is>
          <t>VÄSTRA GÖTALANDS LÄN</t>
        </is>
      </c>
      <c r="E1196" t="inlineStr">
        <is>
          <t>VÅRGÅRDA</t>
        </is>
      </c>
      <c r="G1196" t="n">
        <v>1.9</v>
      </c>
      <c r="H1196" t="n">
        <v>0</v>
      </c>
      <c r="I1196" t="n">
        <v>0</v>
      </c>
      <c r="J1196" t="n">
        <v>0</v>
      </c>
      <c r="K1196" t="n">
        <v>0</v>
      </c>
      <c r="L1196" t="n">
        <v>0</v>
      </c>
      <c r="M1196" t="n">
        <v>0</v>
      </c>
      <c r="N1196" t="n">
        <v>0</v>
      </c>
      <c r="O1196" t="n">
        <v>0</v>
      </c>
      <c r="P1196" t="n">
        <v>0</v>
      </c>
      <c r="Q1196" t="n">
        <v>0</v>
      </c>
      <c r="R1196" s="2" t="inlineStr"/>
    </row>
    <row r="1197" ht="15" customHeight="1">
      <c r="A1197" t="inlineStr">
        <is>
          <t>A 67011-2018</t>
        </is>
      </c>
      <c r="B1197" s="1" t="n">
        <v>43438</v>
      </c>
      <c r="C1197" s="1" t="n">
        <v>45227</v>
      </c>
      <c r="D1197" t="inlineStr">
        <is>
          <t>VÄSTRA GÖTALANDS LÄN</t>
        </is>
      </c>
      <c r="E1197" t="inlineStr">
        <is>
          <t>HERRLJUNGA</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67036-2018</t>
        </is>
      </c>
      <c r="B1198" s="1" t="n">
        <v>43438</v>
      </c>
      <c r="C1198" s="1" t="n">
        <v>45227</v>
      </c>
      <c r="D1198" t="inlineStr">
        <is>
          <t>VÄSTRA GÖTALANDS LÄN</t>
        </is>
      </c>
      <c r="E1198" t="inlineStr">
        <is>
          <t>SKÖVDE</t>
        </is>
      </c>
      <c r="F1198" t="inlineStr">
        <is>
          <t>Övriga statliga verk och myndigheter</t>
        </is>
      </c>
      <c r="G1198" t="n">
        <v>1.3</v>
      </c>
      <c r="H1198" t="n">
        <v>0</v>
      </c>
      <c r="I1198" t="n">
        <v>0</v>
      </c>
      <c r="J1198" t="n">
        <v>0</v>
      </c>
      <c r="K1198" t="n">
        <v>0</v>
      </c>
      <c r="L1198" t="n">
        <v>0</v>
      </c>
      <c r="M1198" t="n">
        <v>0</v>
      </c>
      <c r="N1198" t="n">
        <v>0</v>
      </c>
      <c r="O1198" t="n">
        <v>0</v>
      </c>
      <c r="P1198" t="n">
        <v>0</v>
      </c>
      <c r="Q1198" t="n">
        <v>0</v>
      </c>
      <c r="R1198" s="2" t="inlineStr"/>
    </row>
    <row r="1199" ht="15" customHeight="1">
      <c r="A1199" t="inlineStr">
        <is>
          <t>A 67108-2018</t>
        </is>
      </c>
      <c r="B1199" s="1" t="n">
        <v>43438</v>
      </c>
      <c r="C1199" s="1" t="n">
        <v>45227</v>
      </c>
      <c r="D1199" t="inlineStr">
        <is>
          <t>VÄSTRA GÖTALANDS LÄN</t>
        </is>
      </c>
      <c r="E1199" t="inlineStr">
        <is>
          <t>ULRICEHAMN</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67144-2018</t>
        </is>
      </c>
      <c r="B1200" s="1" t="n">
        <v>43438</v>
      </c>
      <c r="C1200" s="1" t="n">
        <v>45227</v>
      </c>
      <c r="D1200" t="inlineStr">
        <is>
          <t>VÄSTRA GÖTALANDS LÄN</t>
        </is>
      </c>
      <c r="E1200" t="inlineStr">
        <is>
          <t>LIDKÖPING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67151-2018</t>
        </is>
      </c>
      <c r="B1201" s="1" t="n">
        <v>43438</v>
      </c>
      <c r="C1201" s="1" t="n">
        <v>45227</v>
      </c>
      <c r="D1201" t="inlineStr">
        <is>
          <t>VÄSTRA GÖTALANDS LÄN</t>
        </is>
      </c>
      <c r="E1201" t="inlineStr">
        <is>
          <t>UDDEVALLA</t>
        </is>
      </c>
      <c r="F1201" t="inlineStr">
        <is>
          <t>Kommuner</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68431-2018</t>
        </is>
      </c>
      <c r="B1202" s="1" t="n">
        <v>43438</v>
      </c>
      <c r="C1202" s="1" t="n">
        <v>45227</v>
      </c>
      <c r="D1202" t="inlineStr">
        <is>
          <t>VÄSTRA GÖTALANDS LÄN</t>
        </is>
      </c>
      <c r="E1202" t="inlineStr">
        <is>
          <t>BORÅS</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66916-2018</t>
        </is>
      </c>
      <c r="B1203" s="1" t="n">
        <v>43438</v>
      </c>
      <c r="C1203" s="1" t="n">
        <v>45227</v>
      </c>
      <c r="D1203" t="inlineStr">
        <is>
          <t>VÄSTRA GÖTALANDS LÄN</t>
        </is>
      </c>
      <c r="E1203" t="inlineStr">
        <is>
          <t>SVENLJUNGA</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67125-2018</t>
        </is>
      </c>
      <c r="B1204" s="1" t="n">
        <v>43438</v>
      </c>
      <c r="C1204" s="1" t="n">
        <v>45227</v>
      </c>
      <c r="D1204" t="inlineStr">
        <is>
          <t>VÄSTRA GÖTALANDS LÄN</t>
        </is>
      </c>
      <c r="E1204" t="inlineStr">
        <is>
          <t>ALE</t>
        </is>
      </c>
      <c r="G1204" t="n">
        <v>10.4</v>
      </c>
      <c r="H1204" t="n">
        <v>0</v>
      </c>
      <c r="I1204" t="n">
        <v>0</v>
      </c>
      <c r="J1204" t="n">
        <v>0</v>
      </c>
      <c r="K1204" t="n">
        <v>0</v>
      </c>
      <c r="L1204" t="n">
        <v>0</v>
      </c>
      <c r="M1204" t="n">
        <v>0</v>
      </c>
      <c r="N1204" t="n">
        <v>0</v>
      </c>
      <c r="O1204" t="n">
        <v>0</v>
      </c>
      <c r="P1204" t="n">
        <v>0</v>
      </c>
      <c r="Q1204" t="n">
        <v>0</v>
      </c>
      <c r="R1204" s="2" t="inlineStr"/>
    </row>
    <row r="1205" ht="15" customHeight="1">
      <c r="A1205" t="inlineStr">
        <is>
          <t>A 67143-2018</t>
        </is>
      </c>
      <c r="B1205" s="1" t="n">
        <v>43438</v>
      </c>
      <c r="C1205" s="1" t="n">
        <v>45227</v>
      </c>
      <c r="D1205" t="inlineStr">
        <is>
          <t>VÄSTRA GÖTALANDS LÄN</t>
        </is>
      </c>
      <c r="E1205" t="inlineStr">
        <is>
          <t>UDDEVALLA</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68375-2018</t>
        </is>
      </c>
      <c r="B1206" s="1" t="n">
        <v>43438</v>
      </c>
      <c r="C1206" s="1" t="n">
        <v>45227</v>
      </c>
      <c r="D1206" t="inlineStr">
        <is>
          <t>VÄSTRA GÖTALANDS LÄN</t>
        </is>
      </c>
      <c r="E1206" t="inlineStr">
        <is>
          <t>HJO</t>
        </is>
      </c>
      <c r="G1206" t="n">
        <v>11.7</v>
      </c>
      <c r="H1206" t="n">
        <v>0</v>
      </c>
      <c r="I1206" t="n">
        <v>0</v>
      </c>
      <c r="J1206" t="n">
        <v>0</v>
      </c>
      <c r="K1206" t="n">
        <v>0</v>
      </c>
      <c r="L1206" t="n">
        <v>0</v>
      </c>
      <c r="M1206" t="n">
        <v>0</v>
      </c>
      <c r="N1206" t="n">
        <v>0</v>
      </c>
      <c r="O1206" t="n">
        <v>0</v>
      </c>
      <c r="P1206" t="n">
        <v>0</v>
      </c>
      <c r="Q1206" t="n">
        <v>0</v>
      </c>
      <c r="R1206" s="2" t="inlineStr"/>
    </row>
    <row r="1207" ht="15" customHeight="1">
      <c r="A1207" t="inlineStr">
        <is>
          <t>A 68384-2018</t>
        </is>
      </c>
      <c r="B1207" s="1" t="n">
        <v>43438</v>
      </c>
      <c r="C1207" s="1" t="n">
        <v>45227</v>
      </c>
      <c r="D1207" t="inlineStr">
        <is>
          <t>VÄSTRA GÖTALANDS LÄN</t>
        </is>
      </c>
      <c r="E1207" t="inlineStr">
        <is>
          <t>SKÖVDE</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68398-2018</t>
        </is>
      </c>
      <c r="B1208" s="1" t="n">
        <v>43438</v>
      </c>
      <c r="C1208" s="1" t="n">
        <v>45227</v>
      </c>
      <c r="D1208" t="inlineStr">
        <is>
          <t>VÄSTRA GÖTALANDS LÄN</t>
        </is>
      </c>
      <c r="E1208" t="inlineStr">
        <is>
          <t>TRANEMO</t>
        </is>
      </c>
      <c r="F1208" t="inlineStr">
        <is>
          <t>Kommuner</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66999-2018</t>
        </is>
      </c>
      <c r="B1209" s="1" t="n">
        <v>43438</v>
      </c>
      <c r="C1209" s="1" t="n">
        <v>45227</v>
      </c>
      <c r="D1209" t="inlineStr">
        <is>
          <t>VÄSTRA GÖTALANDS LÄN</t>
        </is>
      </c>
      <c r="E1209" t="inlineStr">
        <is>
          <t>BORÅS</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67062-2018</t>
        </is>
      </c>
      <c r="B1210" s="1" t="n">
        <v>43438</v>
      </c>
      <c r="C1210" s="1" t="n">
        <v>45227</v>
      </c>
      <c r="D1210" t="inlineStr">
        <is>
          <t>VÄSTRA GÖTALANDS LÄN</t>
        </is>
      </c>
      <c r="E1210" t="inlineStr">
        <is>
          <t>VÅRGÅRDA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67110-2018</t>
        </is>
      </c>
      <c r="B1211" s="1" t="n">
        <v>43438</v>
      </c>
      <c r="C1211" s="1" t="n">
        <v>45227</v>
      </c>
      <c r="D1211" t="inlineStr">
        <is>
          <t>VÄSTRA GÖTALANDS LÄN</t>
        </is>
      </c>
      <c r="E1211" t="inlineStr">
        <is>
          <t>TANUM</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67133-2018</t>
        </is>
      </c>
      <c r="B1212" s="1" t="n">
        <v>43438</v>
      </c>
      <c r="C1212" s="1" t="n">
        <v>45227</v>
      </c>
      <c r="D1212" t="inlineStr">
        <is>
          <t>VÄSTRA GÖTALANDS LÄN</t>
        </is>
      </c>
      <c r="E1212" t="inlineStr">
        <is>
          <t>ORUST</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67157-2018</t>
        </is>
      </c>
      <c r="B1213" s="1" t="n">
        <v>43438</v>
      </c>
      <c r="C1213" s="1" t="n">
        <v>45227</v>
      </c>
      <c r="D1213" t="inlineStr">
        <is>
          <t>VÄSTRA GÖTALANDS LÄN</t>
        </is>
      </c>
      <c r="E1213" t="inlineStr">
        <is>
          <t>ORUST</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68237-2018</t>
        </is>
      </c>
      <c r="B1214" s="1" t="n">
        <v>43438</v>
      </c>
      <c r="C1214" s="1" t="n">
        <v>45227</v>
      </c>
      <c r="D1214" t="inlineStr">
        <is>
          <t>VÄSTRA GÖTALANDS LÄN</t>
        </is>
      </c>
      <c r="E1214" t="inlineStr">
        <is>
          <t>STRÖMSTAD</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68432-2018</t>
        </is>
      </c>
      <c r="B1215" s="1" t="n">
        <v>43438</v>
      </c>
      <c r="C1215" s="1" t="n">
        <v>45227</v>
      </c>
      <c r="D1215" t="inlineStr">
        <is>
          <t>VÄSTRA GÖTALANDS LÄN</t>
        </is>
      </c>
      <c r="E1215" t="inlineStr">
        <is>
          <t>BORÅS</t>
        </is>
      </c>
      <c r="F1215" t="inlineStr">
        <is>
          <t>Kommuner</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66989-2018</t>
        </is>
      </c>
      <c r="B1216" s="1" t="n">
        <v>43438</v>
      </c>
      <c r="C1216" s="1" t="n">
        <v>45227</v>
      </c>
      <c r="D1216" t="inlineStr">
        <is>
          <t>VÄSTRA GÖTALANDS LÄN</t>
        </is>
      </c>
      <c r="E1216" t="inlineStr">
        <is>
          <t>BOLLEBYGD</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67114-2018</t>
        </is>
      </c>
      <c r="B1217" s="1" t="n">
        <v>43438</v>
      </c>
      <c r="C1217" s="1" t="n">
        <v>45227</v>
      </c>
      <c r="D1217" t="inlineStr">
        <is>
          <t>VÄSTRA GÖTALANDS LÄN</t>
        </is>
      </c>
      <c r="E1217" t="inlineStr">
        <is>
          <t>VÄNERSBORG</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67153-2018</t>
        </is>
      </c>
      <c r="B1218" s="1" t="n">
        <v>43438</v>
      </c>
      <c r="C1218" s="1" t="n">
        <v>45227</v>
      </c>
      <c r="D1218" t="inlineStr">
        <is>
          <t>VÄSTRA GÖTALANDS LÄN</t>
        </is>
      </c>
      <c r="E1218" t="inlineStr">
        <is>
          <t>ALINGSÅS</t>
        </is>
      </c>
      <c r="G1218" t="n">
        <v>5.5</v>
      </c>
      <c r="H1218" t="n">
        <v>0</v>
      </c>
      <c r="I1218" t="n">
        <v>0</v>
      </c>
      <c r="J1218" t="n">
        <v>0</v>
      </c>
      <c r="K1218" t="n">
        <v>0</v>
      </c>
      <c r="L1218" t="n">
        <v>0</v>
      </c>
      <c r="M1218" t="n">
        <v>0</v>
      </c>
      <c r="N1218" t="n">
        <v>0</v>
      </c>
      <c r="O1218" t="n">
        <v>0</v>
      </c>
      <c r="P1218" t="n">
        <v>0</v>
      </c>
      <c r="Q1218" t="n">
        <v>0</v>
      </c>
      <c r="R1218" s="2" t="inlineStr"/>
    </row>
    <row r="1219" ht="15" customHeight="1">
      <c r="A1219" t="inlineStr">
        <is>
          <t>A 68253-2018</t>
        </is>
      </c>
      <c r="B1219" s="1" t="n">
        <v>43438</v>
      </c>
      <c r="C1219" s="1" t="n">
        <v>45227</v>
      </c>
      <c r="D1219" t="inlineStr">
        <is>
          <t>VÄSTRA GÖTALANDS LÄN</t>
        </is>
      </c>
      <c r="E1219" t="inlineStr">
        <is>
          <t>STRÖMSTAD</t>
        </is>
      </c>
      <c r="G1219" t="n">
        <v>12.8</v>
      </c>
      <c r="H1219" t="n">
        <v>0</v>
      </c>
      <c r="I1219" t="n">
        <v>0</v>
      </c>
      <c r="J1219" t="n">
        <v>0</v>
      </c>
      <c r="K1219" t="n">
        <v>0</v>
      </c>
      <c r="L1219" t="n">
        <v>0</v>
      </c>
      <c r="M1219" t="n">
        <v>0</v>
      </c>
      <c r="N1219" t="n">
        <v>0</v>
      </c>
      <c r="O1219" t="n">
        <v>0</v>
      </c>
      <c r="P1219" t="n">
        <v>0</v>
      </c>
      <c r="Q1219" t="n">
        <v>0</v>
      </c>
      <c r="R1219" s="2" t="inlineStr"/>
    </row>
    <row r="1220" ht="15" customHeight="1">
      <c r="A1220" t="inlineStr">
        <is>
          <t>A 68428-2018</t>
        </is>
      </c>
      <c r="B1220" s="1" t="n">
        <v>43438</v>
      </c>
      <c r="C1220" s="1" t="n">
        <v>45227</v>
      </c>
      <c r="D1220" t="inlineStr">
        <is>
          <t>VÄSTRA GÖTALANDS LÄN</t>
        </is>
      </c>
      <c r="E1220" t="inlineStr">
        <is>
          <t>BORÅS</t>
        </is>
      </c>
      <c r="F1220" t="inlineStr">
        <is>
          <t>Kommuner</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67386-2018</t>
        </is>
      </c>
      <c r="B1221" s="1" t="n">
        <v>43439</v>
      </c>
      <c r="C1221" s="1" t="n">
        <v>45227</v>
      </c>
      <c r="D1221" t="inlineStr">
        <is>
          <t>VÄSTRA GÖTALANDS LÄN</t>
        </is>
      </c>
      <c r="E1221" t="inlineStr">
        <is>
          <t>MARK</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67546-2018</t>
        </is>
      </c>
      <c r="B1222" s="1" t="n">
        <v>43439</v>
      </c>
      <c r="C1222" s="1" t="n">
        <v>45227</v>
      </c>
      <c r="D1222" t="inlineStr">
        <is>
          <t>VÄSTRA GÖTALANDS LÄN</t>
        </is>
      </c>
      <c r="E1222" t="inlineStr">
        <is>
          <t>DALS-ED</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68739-2018</t>
        </is>
      </c>
      <c r="B1223" s="1" t="n">
        <v>43439</v>
      </c>
      <c r="C1223" s="1" t="n">
        <v>45227</v>
      </c>
      <c r="D1223" t="inlineStr">
        <is>
          <t>VÄSTRA GÖTALANDS LÄN</t>
        </is>
      </c>
      <c r="E1223" t="inlineStr">
        <is>
          <t>BENGTSFORS</t>
        </is>
      </c>
      <c r="G1223" t="n">
        <v>5.7</v>
      </c>
      <c r="H1223" t="n">
        <v>0</v>
      </c>
      <c r="I1223" t="n">
        <v>0</v>
      </c>
      <c r="J1223" t="n">
        <v>0</v>
      </c>
      <c r="K1223" t="n">
        <v>0</v>
      </c>
      <c r="L1223" t="n">
        <v>0</v>
      </c>
      <c r="M1223" t="n">
        <v>0</v>
      </c>
      <c r="N1223" t="n">
        <v>0</v>
      </c>
      <c r="O1223" t="n">
        <v>0</v>
      </c>
      <c r="P1223" t="n">
        <v>0</v>
      </c>
      <c r="Q1223" t="n">
        <v>0</v>
      </c>
      <c r="R1223" s="2" t="inlineStr"/>
    </row>
    <row r="1224" ht="15" customHeight="1">
      <c r="A1224" t="inlineStr">
        <is>
          <t>A 67231-2018</t>
        </is>
      </c>
      <c r="B1224" s="1" t="n">
        <v>43439</v>
      </c>
      <c r="C1224" s="1" t="n">
        <v>45227</v>
      </c>
      <c r="D1224" t="inlineStr">
        <is>
          <t>VÄSTRA GÖTALANDS LÄN</t>
        </is>
      </c>
      <c r="E1224" t="inlineStr">
        <is>
          <t>MARIESTAD</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67350-2018</t>
        </is>
      </c>
      <c r="B1225" s="1" t="n">
        <v>43439</v>
      </c>
      <c r="C1225" s="1" t="n">
        <v>45227</v>
      </c>
      <c r="D1225" t="inlineStr">
        <is>
          <t>VÄSTRA GÖTALANDS LÄN</t>
        </is>
      </c>
      <c r="E1225" t="inlineStr">
        <is>
          <t>HERRLJUNGA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67436-2018</t>
        </is>
      </c>
      <c r="B1226" s="1" t="n">
        <v>43439</v>
      </c>
      <c r="C1226" s="1" t="n">
        <v>45227</v>
      </c>
      <c r="D1226" t="inlineStr">
        <is>
          <t>VÄSTRA GÖTALANDS LÄN</t>
        </is>
      </c>
      <c r="E1226" t="inlineStr">
        <is>
          <t>SKARA</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68474-2018</t>
        </is>
      </c>
      <c r="B1227" s="1" t="n">
        <v>43439</v>
      </c>
      <c r="C1227" s="1" t="n">
        <v>45227</v>
      </c>
      <c r="D1227" t="inlineStr">
        <is>
          <t>VÄSTRA GÖTALANDS LÄN</t>
        </is>
      </c>
      <c r="E1227" t="inlineStr">
        <is>
          <t>STRÖMSTAD</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68661-2018</t>
        </is>
      </c>
      <c r="B1228" s="1" t="n">
        <v>43439</v>
      </c>
      <c r="C1228" s="1" t="n">
        <v>45227</v>
      </c>
      <c r="D1228" t="inlineStr">
        <is>
          <t>VÄSTRA GÖTALANDS LÄN</t>
        </is>
      </c>
      <c r="E1228" t="inlineStr">
        <is>
          <t>GULLSPÅNG</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67320-2018</t>
        </is>
      </c>
      <c r="B1229" s="1" t="n">
        <v>43439</v>
      </c>
      <c r="C1229" s="1" t="n">
        <v>45227</v>
      </c>
      <c r="D1229" t="inlineStr">
        <is>
          <t>VÄSTRA GÖTALANDS LÄN</t>
        </is>
      </c>
      <c r="E1229" t="inlineStr">
        <is>
          <t>GULLSPÅNG</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67384-2018</t>
        </is>
      </c>
      <c r="B1230" s="1" t="n">
        <v>43439</v>
      </c>
      <c r="C1230" s="1" t="n">
        <v>45227</v>
      </c>
      <c r="D1230" t="inlineStr">
        <is>
          <t>VÄSTRA GÖTALANDS LÄN</t>
        </is>
      </c>
      <c r="E1230" t="inlineStr">
        <is>
          <t>MARK</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67316-2018</t>
        </is>
      </c>
      <c r="B1231" s="1" t="n">
        <v>43439</v>
      </c>
      <c r="C1231" s="1" t="n">
        <v>45227</v>
      </c>
      <c r="D1231" t="inlineStr">
        <is>
          <t>VÄSTRA GÖTALANDS LÄN</t>
        </is>
      </c>
      <c r="E1231" t="inlineStr">
        <is>
          <t>SVENLJUNGA</t>
        </is>
      </c>
      <c r="G1231" t="n">
        <v>7.3</v>
      </c>
      <c r="H1231" t="n">
        <v>0</v>
      </c>
      <c r="I1231" t="n">
        <v>0</v>
      </c>
      <c r="J1231" t="n">
        <v>0</v>
      </c>
      <c r="K1231" t="n">
        <v>0</v>
      </c>
      <c r="L1231" t="n">
        <v>0</v>
      </c>
      <c r="M1231" t="n">
        <v>0</v>
      </c>
      <c r="N1231" t="n">
        <v>0</v>
      </c>
      <c r="O1231" t="n">
        <v>0</v>
      </c>
      <c r="P1231" t="n">
        <v>0</v>
      </c>
      <c r="Q1231" t="n">
        <v>0</v>
      </c>
      <c r="R1231" s="2" t="inlineStr"/>
    </row>
    <row r="1232" ht="15" customHeight="1">
      <c r="A1232" t="inlineStr">
        <is>
          <t>A 67331-2018</t>
        </is>
      </c>
      <c r="B1232" s="1" t="n">
        <v>43439</v>
      </c>
      <c r="C1232" s="1" t="n">
        <v>45227</v>
      </c>
      <c r="D1232" t="inlineStr">
        <is>
          <t>VÄSTRA GÖTALANDS LÄN</t>
        </is>
      </c>
      <c r="E1232" t="inlineStr">
        <is>
          <t>SKARA</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67451-2018</t>
        </is>
      </c>
      <c r="B1233" s="1" t="n">
        <v>43439</v>
      </c>
      <c r="C1233" s="1" t="n">
        <v>45227</v>
      </c>
      <c r="D1233" t="inlineStr">
        <is>
          <t>VÄSTRA GÖTALANDS LÄN</t>
        </is>
      </c>
      <c r="E1233" t="inlineStr">
        <is>
          <t>FALKÖPING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68742-2018</t>
        </is>
      </c>
      <c r="B1234" s="1" t="n">
        <v>43439</v>
      </c>
      <c r="C1234" s="1" t="n">
        <v>45227</v>
      </c>
      <c r="D1234" t="inlineStr">
        <is>
          <t>VÄSTRA GÖTALANDS LÄN</t>
        </is>
      </c>
      <c r="E1234" t="inlineStr">
        <is>
          <t>MARK</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67871-2018</t>
        </is>
      </c>
      <c r="B1235" s="1" t="n">
        <v>43440</v>
      </c>
      <c r="C1235" s="1" t="n">
        <v>45227</v>
      </c>
      <c r="D1235" t="inlineStr">
        <is>
          <t>VÄSTRA GÖTALANDS LÄN</t>
        </is>
      </c>
      <c r="E1235" t="inlineStr">
        <is>
          <t>ORUST</t>
        </is>
      </c>
      <c r="G1235" t="n">
        <v>8.1</v>
      </c>
      <c r="H1235" t="n">
        <v>0</v>
      </c>
      <c r="I1235" t="n">
        <v>0</v>
      </c>
      <c r="J1235" t="n">
        <v>0</v>
      </c>
      <c r="K1235" t="n">
        <v>0</v>
      </c>
      <c r="L1235" t="n">
        <v>0</v>
      </c>
      <c r="M1235" t="n">
        <v>0</v>
      </c>
      <c r="N1235" t="n">
        <v>0</v>
      </c>
      <c r="O1235" t="n">
        <v>0</v>
      </c>
      <c r="P1235" t="n">
        <v>0</v>
      </c>
      <c r="Q1235" t="n">
        <v>0</v>
      </c>
      <c r="R1235" s="2" t="inlineStr"/>
    </row>
    <row r="1236" ht="15" customHeight="1">
      <c r="A1236" t="inlineStr">
        <is>
          <t>A 67975-2018</t>
        </is>
      </c>
      <c r="B1236" s="1" t="n">
        <v>43440</v>
      </c>
      <c r="C1236" s="1" t="n">
        <v>45227</v>
      </c>
      <c r="D1236" t="inlineStr">
        <is>
          <t>VÄSTRA GÖTALANDS LÄN</t>
        </is>
      </c>
      <c r="E1236" t="inlineStr">
        <is>
          <t>SKARA</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68779-2018</t>
        </is>
      </c>
      <c r="B1237" s="1" t="n">
        <v>43440</v>
      </c>
      <c r="C1237" s="1" t="n">
        <v>45227</v>
      </c>
      <c r="D1237" t="inlineStr">
        <is>
          <t>VÄSTRA GÖTALANDS LÄN</t>
        </is>
      </c>
      <c r="E1237" t="inlineStr">
        <is>
          <t>VÅRGÅRDA</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67973-2018</t>
        </is>
      </c>
      <c r="B1238" s="1" t="n">
        <v>43440</v>
      </c>
      <c r="C1238" s="1" t="n">
        <v>45227</v>
      </c>
      <c r="D1238" t="inlineStr">
        <is>
          <t>VÄSTRA GÖTALANDS LÄN</t>
        </is>
      </c>
      <c r="E1238" t="inlineStr">
        <is>
          <t>SKARA</t>
        </is>
      </c>
      <c r="G1238" t="n">
        <v>2.4</v>
      </c>
      <c r="H1238" t="n">
        <v>0</v>
      </c>
      <c r="I1238" t="n">
        <v>0</v>
      </c>
      <c r="J1238" t="n">
        <v>0</v>
      </c>
      <c r="K1238" t="n">
        <v>0</v>
      </c>
      <c r="L1238" t="n">
        <v>0</v>
      </c>
      <c r="M1238" t="n">
        <v>0</v>
      </c>
      <c r="N1238" t="n">
        <v>0</v>
      </c>
      <c r="O1238" t="n">
        <v>0</v>
      </c>
      <c r="P1238" t="n">
        <v>0</v>
      </c>
      <c r="Q1238" t="n">
        <v>0</v>
      </c>
      <c r="R1238" s="2" t="inlineStr"/>
    </row>
    <row r="1239" ht="15" customHeight="1">
      <c r="A1239" t="inlineStr">
        <is>
          <t>A 68664-2018</t>
        </is>
      </c>
      <c r="B1239" s="1" t="n">
        <v>43440</v>
      </c>
      <c r="C1239" s="1" t="n">
        <v>45227</v>
      </c>
      <c r="D1239" t="inlineStr">
        <is>
          <t>VÄSTRA GÖTALANDS LÄN</t>
        </is>
      </c>
      <c r="E1239" t="inlineStr">
        <is>
          <t>STRÖMSTAD</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67877-2018</t>
        </is>
      </c>
      <c r="B1240" s="1" t="n">
        <v>43440</v>
      </c>
      <c r="C1240" s="1" t="n">
        <v>45227</v>
      </c>
      <c r="D1240" t="inlineStr">
        <is>
          <t>VÄSTRA GÖTALANDS LÄN</t>
        </is>
      </c>
      <c r="E1240" t="inlineStr">
        <is>
          <t>ALE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67931-2018</t>
        </is>
      </c>
      <c r="B1241" s="1" t="n">
        <v>43440</v>
      </c>
      <c r="C1241" s="1" t="n">
        <v>45227</v>
      </c>
      <c r="D1241" t="inlineStr">
        <is>
          <t>VÄSTRA GÖTALANDS LÄN</t>
        </is>
      </c>
      <c r="E1241" t="inlineStr">
        <is>
          <t>BOLLEBYGD</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67669-2018</t>
        </is>
      </c>
      <c r="B1242" s="1" t="n">
        <v>43440</v>
      </c>
      <c r="C1242" s="1" t="n">
        <v>45227</v>
      </c>
      <c r="D1242" t="inlineStr">
        <is>
          <t>VÄSTRA GÖTALANDS LÄN</t>
        </is>
      </c>
      <c r="E1242" t="inlineStr">
        <is>
          <t>TRANEMO</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67859-2018</t>
        </is>
      </c>
      <c r="B1243" s="1" t="n">
        <v>43440</v>
      </c>
      <c r="C1243" s="1" t="n">
        <v>45227</v>
      </c>
      <c r="D1243" t="inlineStr">
        <is>
          <t>VÄSTRA GÖTALANDS LÄN</t>
        </is>
      </c>
      <c r="E1243" t="inlineStr">
        <is>
          <t>ALE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68162-2018</t>
        </is>
      </c>
      <c r="B1244" s="1" t="n">
        <v>43441</v>
      </c>
      <c r="C1244" s="1" t="n">
        <v>45227</v>
      </c>
      <c r="D1244" t="inlineStr">
        <is>
          <t>VÄSTRA GÖTALANDS LÄN</t>
        </is>
      </c>
      <c r="E1244" t="inlineStr">
        <is>
          <t>TIDAHOLM</t>
        </is>
      </c>
      <c r="G1244" t="n">
        <v>7.6</v>
      </c>
      <c r="H1244" t="n">
        <v>0</v>
      </c>
      <c r="I1244" t="n">
        <v>0</v>
      </c>
      <c r="J1244" t="n">
        <v>0</v>
      </c>
      <c r="K1244" t="n">
        <v>0</v>
      </c>
      <c r="L1244" t="n">
        <v>0</v>
      </c>
      <c r="M1244" t="n">
        <v>0</v>
      </c>
      <c r="N1244" t="n">
        <v>0</v>
      </c>
      <c r="O1244" t="n">
        <v>0</v>
      </c>
      <c r="P1244" t="n">
        <v>0</v>
      </c>
      <c r="Q1244" t="n">
        <v>0</v>
      </c>
      <c r="R1244" s="2" t="inlineStr"/>
    </row>
    <row r="1245" ht="15" customHeight="1">
      <c r="A1245" t="inlineStr">
        <is>
          <t>A 68069-2018</t>
        </is>
      </c>
      <c r="B1245" s="1" t="n">
        <v>43441</v>
      </c>
      <c r="C1245" s="1" t="n">
        <v>45227</v>
      </c>
      <c r="D1245" t="inlineStr">
        <is>
          <t>VÄSTRA GÖTALANDS LÄN</t>
        </is>
      </c>
      <c r="E1245" t="inlineStr">
        <is>
          <t>HÄRRYDA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69144-2018</t>
        </is>
      </c>
      <c r="B1246" s="1" t="n">
        <v>43441</v>
      </c>
      <c r="C1246" s="1" t="n">
        <v>45227</v>
      </c>
      <c r="D1246" t="inlineStr">
        <is>
          <t>VÄSTRA GÖTALANDS LÄN</t>
        </is>
      </c>
      <c r="E1246" t="inlineStr">
        <is>
          <t>DALS-ED</t>
        </is>
      </c>
      <c r="F1246" t="inlineStr">
        <is>
          <t>Bergvik skog väst AB</t>
        </is>
      </c>
      <c r="G1246" t="n">
        <v>11.5</v>
      </c>
      <c r="H1246" t="n">
        <v>0</v>
      </c>
      <c r="I1246" t="n">
        <v>0</v>
      </c>
      <c r="J1246" t="n">
        <v>0</v>
      </c>
      <c r="K1246" t="n">
        <v>0</v>
      </c>
      <c r="L1246" t="n">
        <v>0</v>
      </c>
      <c r="M1246" t="n">
        <v>0</v>
      </c>
      <c r="N1246" t="n">
        <v>0</v>
      </c>
      <c r="O1246" t="n">
        <v>0</v>
      </c>
      <c r="P1246" t="n">
        <v>0</v>
      </c>
      <c r="Q1246" t="n">
        <v>0</v>
      </c>
      <c r="R1246" s="2" t="inlineStr"/>
    </row>
    <row r="1247" ht="15" customHeight="1">
      <c r="A1247" t="inlineStr">
        <is>
          <t>A 68023-2018</t>
        </is>
      </c>
      <c r="B1247" s="1" t="n">
        <v>43441</v>
      </c>
      <c r="C1247" s="1" t="n">
        <v>45227</v>
      </c>
      <c r="D1247" t="inlineStr">
        <is>
          <t>VÄSTRA GÖTALANDS LÄN</t>
        </is>
      </c>
      <c r="E1247" t="inlineStr">
        <is>
          <t>VÄNERSBORG</t>
        </is>
      </c>
      <c r="G1247" t="n">
        <v>4.3</v>
      </c>
      <c r="H1247" t="n">
        <v>0</v>
      </c>
      <c r="I1247" t="n">
        <v>0</v>
      </c>
      <c r="J1247" t="n">
        <v>0</v>
      </c>
      <c r="K1247" t="n">
        <v>0</v>
      </c>
      <c r="L1247" t="n">
        <v>0</v>
      </c>
      <c r="M1247" t="n">
        <v>0</v>
      </c>
      <c r="N1247" t="n">
        <v>0</v>
      </c>
      <c r="O1247" t="n">
        <v>0</v>
      </c>
      <c r="P1247" t="n">
        <v>0</v>
      </c>
      <c r="Q1247" t="n">
        <v>0</v>
      </c>
      <c r="R1247" s="2" t="inlineStr"/>
    </row>
    <row r="1248" ht="15" customHeight="1">
      <c r="A1248" t="inlineStr">
        <is>
          <t>A 68148-2018</t>
        </is>
      </c>
      <c r="B1248" s="1" t="n">
        <v>43441</v>
      </c>
      <c r="C1248" s="1" t="n">
        <v>45227</v>
      </c>
      <c r="D1248" t="inlineStr">
        <is>
          <t>VÄSTRA GÖTALANDS LÄN</t>
        </is>
      </c>
      <c r="E1248" t="inlineStr">
        <is>
          <t>TIDAHOLM</t>
        </is>
      </c>
      <c r="G1248" t="n">
        <v>5.8</v>
      </c>
      <c r="H1248" t="n">
        <v>0</v>
      </c>
      <c r="I1248" t="n">
        <v>0</v>
      </c>
      <c r="J1248" t="n">
        <v>0</v>
      </c>
      <c r="K1248" t="n">
        <v>0</v>
      </c>
      <c r="L1248" t="n">
        <v>0</v>
      </c>
      <c r="M1248" t="n">
        <v>0</v>
      </c>
      <c r="N1248" t="n">
        <v>0</v>
      </c>
      <c r="O1248" t="n">
        <v>0</v>
      </c>
      <c r="P1248" t="n">
        <v>0</v>
      </c>
      <c r="Q1248" t="n">
        <v>0</v>
      </c>
      <c r="R1248" s="2" t="inlineStr"/>
    </row>
    <row r="1249" ht="15" customHeight="1">
      <c r="A1249" t="inlineStr">
        <is>
          <t>A 68077-2018</t>
        </is>
      </c>
      <c r="B1249" s="1" t="n">
        <v>43441</v>
      </c>
      <c r="C1249" s="1" t="n">
        <v>45227</v>
      </c>
      <c r="D1249" t="inlineStr">
        <is>
          <t>VÄSTRA GÖTALANDS LÄN</t>
        </is>
      </c>
      <c r="E1249" t="inlineStr">
        <is>
          <t>HÄRRYDA</t>
        </is>
      </c>
      <c r="G1249" t="n">
        <v>6.9</v>
      </c>
      <c r="H1249" t="n">
        <v>0</v>
      </c>
      <c r="I1249" t="n">
        <v>0</v>
      </c>
      <c r="J1249" t="n">
        <v>0</v>
      </c>
      <c r="K1249" t="n">
        <v>0</v>
      </c>
      <c r="L1249" t="n">
        <v>0</v>
      </c>
      <c r="M1249" t="n">
        <v>0</v>
      </c>
      <c r="N1249" t="n">
        <v>0</v>
      </c>
      <c r="O1249" t="n">
        <v>0</v>
      </c>
      <c r="P1249" t="n">
        <v>0</v>
      </c>
      <c r="Q1249" t="n">
        <v>0</v>
      </c>
      <c r="R1249" s="2" t="inlineStr"/>
    </row>
    <row r="1250" ht="15" customHeight="1">
      <c r="A1250" t="inlineStr">
        <is>
          <t>A 68492-2018</t>
        </is>
      </c>
      <c r="B1250" s="1" t="n">
        <v>43442</v>
      </c>
      <c r="C1250" s="1" t="n">
        <v>45227</v>
      </c>
      <c r="D1250" t="inlineStr">
        <is>
          <t>VÄSTRA GÖTALANDS LÄN</t>
        </is>
      </c>
      <c r="E1250" t="inlineStr">
        <is>
          <t>MUNKEDAL</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68385-2018</t>
        </is>
      </c>
      <c r="B1251" s="1" t="n">
        <v>43442</v>
      </c>
      <c r="C1251" s="1" t="n">
        <v>45227</v>
      </c>
      <c r="D1251" t="inlineStr">
        <is>
          <t>VÄSTRA GÖTALANDS LÄN</t>
        </is>
      </c>
      <c r="E1251" t="inlineStr">
        <is>
          <t>GRÄSTORP</t>
        </is>
      </c>
      <c r="G1251" t="n">
        <v>4.7</v>
      </c>
      <c r="H1251" t="n">
        <v>0</v>
      </c>
      <c r="I1251" t="n">
        <v>0</v>
      </c>
      <c r="J1251" t="n">
        <v>0</v>
      </c>
      <c r="K1251" t="n">
        <v>0</v>
      </c>
      <c r="L1251" t="n">
        <v>0</v>
      </c>
      <c r="M1251" t="n">
        <v>0</v>
      </c>
      <c r="N1251" t="n">
        <v>0</v>
      </c>
      <c r="O1251" t="n">
        <v>0</v>
      </c>
      <c r="P1251" t="n">
        <v>0</v>
      </c>
      <c r="Q1251" t="n">
        <v>0</v>
      </c>
      <c r="R1251" s="2" t="inlineStr"/>
    </row>
    <row r="1252" ht="15" customHeight="1">
      <c r="A1252" t="inlineStr">
        <is>
          <t>A 68478-2018</t>
        </is>
      </c>
      <c r="B1252" s="1" t="n">
        <v>43442</v>
      </c>
      <c r="C1252" s="1" t="n">
        <v>45227</v>
      </c>
      <c r="D1252" t="inlineStr">
        <is>
          <t>VÄSTRA GÖTALANDS LÄN</t>
        </is>
      </c>
      <c r="E1252" t="inlineStr">
        <is>
          <t>ULRICEHAMN</t>
        </is>
      </c>
      <c r="G1252" t="n">
        <v>0.2</v>
      </c>
      <c r="H1252" t="n">
        <v>0</v>
      </c>
      <c r="I1252" t="n">
        <v>0</v>
      </c>
      <c r="J1252" t="n">
        <v>0</v>
      </c>
      <c r="K1252" t="n">
        <v>0</v>
      </c>
      <c r="L1252" t="n">
        <v>0</v>
      </c>
      <c r="M1252" t="n">
        <v>0</v>
      </c>
      <c r="N1252" t="n">
        <v>0</v>
      </c>
      <c r="O1252" t="n">
        <v>0</v>
      </c>
      <c r="P1252" t="n">
        <v>0</v>
      </c>
      <c r="Q1252" t="n">
        <v>0</v>
      </c>
      <c r="R1252" s="2" t="inlineStr"/>
    </row>
    <row r="1253" ht="15" customHeight="1">
      <c r="A1253" t="inlineStr">
        <is>
          <t>A 68490-2018</t>
        </is>
      </c>
      <c r="B1253" s="1" t="n">
        <v>43442</v>
      </c>
      <c r="C1253" s="1" t="n">
        <v>45227</v>
      </c>
      <c r="D1253" t="inlineStr">
        <is>
          <t>VÄSTRA GÖTALANDS LÄN</t>
        </is>
      </c>
      <c r="E1253" t="inlineStr">
        <is>
          <t>FÄRGELANDA</t>
        </is>
      </c>
      <c r="G1253" t="n">
        <v>18.5</v>
      </c>
      <c r="H1253" t="n">
        <v>0</v>
      </c>
      <c r="I1253" t="n">
        <v>0</v>
      </c>
      <c r="J1253" t="n">
        <v>0</v>
      </c>
      <c r="K1253" t="n">
        <v>0</v>
      </c>
      <c r="L1253" t="n">
        <v>0</v>
      </c>
      <c r="M1253" t="n">
        <v>0</v>
      </c>
      <c r="N1253" t="n">
        <v>0</v>
      </c>
      <c r="O1253" t="n">
        <v>0</v>
      </c>
      <c r="P1253" t="n">
        <v>0</v>
      </c>
      <c r="Q1253" t="n">
        <v>0</v>
      </c>
      <c r="R1253" s="2" t="inlineStr"/>
    </row>
    <row r="1254" ht="15" customHeight="1">
      <c r="A1254" t="inlineStr">
        <is>
          <t>A 68491-2018</t>
        </is>
      </c>
      <c r="B1254" s="1" t="n">
        <v>43442</v>
      </c>
      <c r="C1254" s="1" t="n">
        <v>45227</v>
      </c>
      <c r="D1254" t="inlineStr">
        <is>
          <t>VÄSTRA GÖTALANDS LÄN</t>
        </is>
      </c>
      <c r="E1254" t="inlineStr">
        <is>
          <t>VÄNERSBORG</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66842-2018</t>
        </is>
      </c>
      <c r="B1255" s="1" t="n">
        <v>43443</v>
      </c>
      <c r="C1255" s="1" t="n">
        <v>45227</v>
      </c>
      <c r="D1255" t="inlineStr">
        <is>
          <t>VÄSTRA GÖTALANDS LÄN</t>
        </is>
      </c>
      <c r="E1255" t="inlineStr">
        <is>
          <t>TIBRO</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68506-2018</t>
        </is>
      </c>
      <c r="B1256" s="1" t="n">
        <v>43443</v>
      </c>
      <c r="C1256" s="1" t="n">
        <v>45227</v>
      </c>
      <c r="D1256" t="inlineStr">
        <is>
          <t>VÄSTRA GÖTALANDS LÄN</t>
        </is>
      </c>
      <c r="E1256" t="inlineStr">
        <is>
          <t>BOLLEBYGD</t>
        </is>
      </c>
      <c r="G1256" t="n">
        <v>0.2</v>
      </c>
      <c r="H1256" t="n">
        <v>0</v>
      </c>
      <c r="I1256" t="n">
        <v>0</v>
      </c>
      <c r="J1256" t="n">
        <v>0</v>
      </c>
      <c r="K1256" t="n">
        <v>0</v>
      </c>
      <c r="L1256" t="n">
        <v>0</v>
      </c>
      <c r="M1256" t="n">
        <v>0</v>
      </c>
      <c r="N1256" t="n">
        <v>0</v>
      </c>
      <c r="O1256" t="n">
        <v>0</v>
      </c>
      <c r="P1256" t="n">
        <v>0</v>
      </c>
      <c r="Q1256" t="n">
        <v>0</v>
      </c>
      <c r="R1256" s="2" t="inlineStr"/>
    </row>
    <row r="1257" ht="15" customHeight="1">
      <c r="A1257" t="inlineStr">
        <is>
          <t>A 68496-2018</t>
        </is>
      </c>
      <c r="B1257" s="1" t="n">
        <v>43443</v>
      </c>
      <c r="C1257" s="1" t="n">
        <v>45227</v>
      </c>
      <c r="D1257" t="inlineStr">
        <is>
          <t>VÄSTRA GÖTALANDS LÄN</t>
        </is>
      </c>
      <c r="E1257" t="inlineStr">
        <is>
          <t>UDDEVALLA</t>
        </is>
      </c>
      <c r="G1257" t="n">
        <v>14.1</v>
      </c>
      <c r="H1257" t="n">
        <v>0</v>
      </c>
      <c r="I1257" t="n">
        <v>0</v>
      </c>
      <c r="J1257" t="n">
        <v>0</v>
      </c>
      <c r="K1257" t="n">
        <v>0</v>
      </c>
      <c r="L1257" t="n">
        <v>0</v>
      </c>
      <c r="M1257" t="n">
        <v>0</v>
      </c>
      <c r="N1257" t="n">
        <v>0</v>
      </c>
      <c r="O1257" t="n">
        <v>0</v>
      </c>
      <c r="P1257" t="n">
        <v>0</v>
      </c>
      <c r="Q1257" t="n">
        <v>0</v>
      </c>
      <c r="R1257" s="2" t="inlineStr"/>
    </row>
    <row r="1258" ht="15" customHeight="1">
      <c r="A1258" t="inlineStr">
        <is>
          <t>A 68566-2018</t>
        </is>
      </c>
      <c r="B1258" s="1" t="n">
        <v>43444</v>
      </c>
      <c r="C1258" s="1" t="n">
        <v>45227</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68580-2018</t>
        </is>
      </c>
      <c r="B1259" s="1" t="n">
        <v>43444</v>
      </c>
      <c r="C1259" s="1" t="n">
        <v>45227</v>
      </c>
      <c r="D1259" t="inlineStr">
        <is>
          <t>VÄSTRA GÖTALANDS LÄN</t>
        </is>
      </c>
      <c r="E1259" t="inlineStr">
        <is>
          <t>ALINGSÅS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68709-2018</t>
        </is>
      </c>
      <c r="B1260" s="1" t="n">
        <v>43444</v>
      </c>
      <c r="C1260" s="1" t="n">
        <v>45227</v>
      </c>
      <c r="D1260" t="inlineStr">
        <is>
          <t>VÄSTRA GÖTALANDS LÄN</t>
        </is>
      </c>
      <c r="E1260" t="inlineStr">
        <is>
          <t>HÄRRYDA</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68850-2018</t>
        </is>
      </c>
      <c r="B1261" s="1" t="n">
        <v>43444</v>
      </c>
      <c r="C1261" s="1" t="n">
        <v>45227</v>
      </c>
      <c r="D1261" t="inlineStr">
        <is>
          <t>VÄSTRA GÖTALANDS LÄN</t>
        </is>
      </c>
      <c r="E1261" t="inlineStr">
        <is>
          <t>FALKÖPING</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69993-2018</t>
        </is>
      </c>
      <c r="B1262" s="1" t="n">
        <v>43444</v>
      </c>
      <c r="C1262" s="1" t="n">
        <v>45227</v>
      </c>
      <c r="D1262" t="inlineStr">
        <is>
          <t>VÄSTRA GÖTALANDS LÄN</t>
        </is>
      </c>
      <c r="E1262" t="inlineStr">
        <is>
          <t>TANUM</t>
        </is>
      </c>
      <c r="G1262" t="n">
        <v>27.9</v>
      </c>
      <c r="H1262" t="n">
        <v>0</v>
      </c>
      <c r="I1262" t="n">
        <v>0</v>
      </c>
      <c r="J1262" t="n">
        <v>0</v>
      </c>
      <c r="K1262" t="n">
        <v>0</v>
      </c>
      <c r="L1262" t="n">
        <v>0</v>
      </c>
      <c r="M1262" t="n">
        <v>0</v>
      </c>
      <c r="N1262" t="n">
        <v>0</v>
      </c>
      <c r="O1262" t="n">
        <v>0</v>
      </c>
      <c r="P1262" t="n">
        <v>0</v>
      </c>
      <c r="Q1262" t="n">
        <v>0</v>
      </c>
      <c r="R1262" s="2" t="inlineStr"/>
    </row>
    <row r="1263" ht="15" customHeight="1">
      <c r="A1263" t="inlineStr">
        <is>
          <t>A 68567-2018</t>
        </is>
      </c>
      <c r="B1263" s="1" t="n">
        <v>43444</v>
      </c>
      <c r="C1263" s="1" t="n">
        <v>45227</v>
      </c>
      <c r="D1263" t="inlineStr">
        <is>
          <t>VÄSTRA GÖTALANDS LÄN</t>
        </is>
      </c>
      <c r="E1263" t="inlineStr">
        <is>
          <t>ALINGSÅS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68677-2018</t>
        </is>
      </c>
      <c r="B1264" s="1" t="n">
        <v>43444</v>
      </c>
      <c r="C1264" s="1" t="n">
        <v>45227</v>
      </c>
      <c r="D1264" t="inlineStr">
        <is>
          <t>VÄSTRA GÖTALANDS LÄN</t>
        </is>
      </c>
      <c r="E1264" t="inlineStr">
        <is>
          <t>TRANEMO</t>
        </is>
      </c>
      <c r="F1264" t="inlineStr">
        <is>
          <t>Sveaskog</t>
        </is>
      </c>
      <c r="G1264" t="n">
        <v>4.2</v>
      </c>
      <c r="H1264" t="n">
        <v>0</v>
      </c>
      <c r="I1264" t="n">
        <v>0</v>
      </c>
      <c r="J1264" t="n">
        <v>0</v>
      </c>
      <c r="K1264" t="n">
        <v>0</v>
      </c>
      <c r="L1264" t="n">
        <v>0</v>
      </c>
      <c r="M1264" t="n">
        <v>0</v>
      </c>
      <c r="N1264" t="n">
        <v>0</v>
      </c>
      <c r="O1264" t="n">
        <v>0</v>
      </c>
      <c r="P1264" t="n">
        <v>0</v>
      </c>
      <c r="Q1264" t="n">
        <v>0</v>
      </c>
      <c r="R1264" s="2" t="inlineStr"/>
    </row>
    <row r="1265" ht="15" customHeight="1">
      <c r="A1265" t="inlineStr">
        <is>
          <t>A 68634-2018</t>
        </is>
      </c>
      <c r="B1265" s="1" t="n">
        <v>43444</v>
      </c>
      <c r="C1265" s="1" t="n">
        <v>45227</v>
      </c>
      <c r="D1265" t="inlineStr">
        <is>
          <t>VÄSTRA GÖTALANDS LÄN</t>
        </is>
      </c>
      <c r="E1265" t="inlineStr">
        <is>
          <t>MELLERUD</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68670-2018</t>
        </is>
      </c>
      <c r="B1266" s="1" t="n">
        <v>43444</v>
      </c>
      <c r="C1266" s="1" t="n">
        <v>45227</v>
      </c>
      <c r="D1266" t="inlineStr">
        <is>
          <t>VÄSTRA GÖTALANDS LÄN</t>
        </is>
      </c>
      <c r="E1266" t="inlineStr">
        <is>
          <t>FÄRGELANDA</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68680-2018</t>
        </is>
      </c>
      <c r="B1267" s="1" t="n">
        <v>43444</v>
      </c>
      <c r="C1267" s="1" t="n">
        <v>45227</v>
      </c>
      <c r="D1267" t="inlineStr">
        <is>
          <t>VÄSTRA GÖTALANDS LÄN</t>
        </is>
      </c>
      <c r="E1267" t="inlineStr">
        <is>
          <t>TRANEMO</t>
        </is>
      </c>
      <c r="F1267" t="inlineStr">
        <is>
          <t>Sveaskog</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68817-2018</t>
        </is>
      </c>
      <c r="B1268" s="1" t="n">
        <v>43444</v>
      </c>
      <c r="C1268" s="1" t="n">
        <v>45227</v>
      </c>
      <c r="D1268" t="inlineStr">
        <is>
          <t>VÄSTRA GÖTALANDS LÄN</t>
        </is>
      </c>
      <c r="E1268" t="inlineStr">
        <is>
          <t>TIBRO</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69759-2018</t>
        </is>
      </c>
      <c r="B1269" s="1" t="n">
        <v>43444</v>
      </c>
      <c r="C1269" s="1" t="n">
        <v>45227</v>
      </c>
      <c r="D1269" t="inlineStr">
        <is>
          <t>VÄSTRA GÖTALANDS LÄN</t>
        </is>
      </c>
      <c r="E1269" t="inlineStr">
        <is>
          <t>SKÖVDE</t>
        </is>
      </c>
      <c r="G1269" t="n">
        <v>6</v>
      </c>
      <c r="H1269" t="n">
        <v>0</v>
      </c>
      <c r="I1269" t="n">
        <v>0</v>
      </c>
      <c r="J1269" t="n">
        <v>0</v>
      </c>
      <c r="K1269" t="n">
        <v>0</v>
      </c>
      <c r="L1269" t="n">
        <v>0</v>
      </c>
      <c r="M1269" t="n">
        <v>0</v>
      </c>
      <c r="N1269" t="n">
        <v>0</v>
      </c>
      <c r="O1269" t="n">
        <v>0</v>
      </c>
      <c r="P1269" t="n">
        <v>0</v>
      </c>
      <c r="Q1269" t="n">
        <v>0</v>
      </c>
      <c r="R1269" s="2" t="inlineStr"/>
    </row>
    <row r="1270" ht="15" customHeight="1">
      <c r="A1270" t="inlineStr">
        <is>
          <t>A 68538-2018</t>
        </is>
      </c>
      <c r="B1270" s="1" t="n">
        <v>43444</v>
      </c>
      <c r="C1270" s="1" t="n">
        <v>45227</v>
      </c>
      <c r="D1270" t="inlineStr">
        <is>
          <t>VÄSTRA GÖTALANDS LÄN</t>
        </is>
      </c>
      <c r="E1270" t="inlineStr">
        <is>
          <t>VARA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68651-2018</t>
        </is>
      </c>
      <c r="B1271" s="1" t="n">
        <v>43444</v>
      </c>
      <c r="C1271" s="1" t="n">
        <v>45227</v>
      </c>
      <c r="D1271" t="inlineStr">
        <is>
          <t>VÄSTRA GÖTALANDS LÄN</t>
        </is>
      </c>
      <c r="E1271" t="inlineStr">
        <is>
          <t>MARIESTAD</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68845-2018</t>
        </is>
      </c>
      <c r="B1272" s="1" t="n">
        <v>43444</v>
      </c>
      <c r="C1272" s="1" t="n">
        <v>45227</v>
      </c>
      <c r="D1272" t="inlineStr">
        <is>
          <t>VÄSTRA GÖTALANDS LÄN</t>
        </is>
      </c>
      <c r="E1272" t="inlineStr">
        <is>
          <t>FALKÖPING</t>
        </is>
      </c>
      <c r="G1272" t="n">
        <v>6.8</v>
      </c>
      <c r="H1272" t="n">
        <v>0</v>
      </c>
      <c r="I1272" t="n">
        <v>0</v>
      </c>
      <c r="J1272" t="n">
        <v>0</v>
      </c>
      <c r="K1272" t="n">
        <v>0</v>
      </c>
      <c r="L1272" t="n">
        <v>0</v>
      </c>
      <c r="M1272" t="n">
        <v>0</v>
      </c>
      <c r="N1272" t="n">
        <v>0</v>
      </c>
      <c r="O1272" t="n">
        <v>0</v>
      </c>
      <c r="P1272" t="n">
        <v>0</v>
      </c>
      <c r="Q1272" t="n">
        <v>0</v>
      </c>
      <c r="R1272" s="2" t="inlineStr"/>
    </row>
    <row r="1273" ht="15" customHeight="1">
      <c r="A1273" t="inlineStr">
        <is>
          <t>A 69720-2018</t>
        </is>
      </c>
      <c r="B1273" s="1" t="n">
        <v>43444</v>
      </c>
      <c r="C1273" s="1" t="n">
        <v>45227</v>
      </c>
      <c r="D1273" t="inlineStr">
        <is>
          <t>VÄSTRA GÖTALANDS LÄN</t>
        </is>
      </c>
      <c r="E1273" t="inlineStr">
        <is>
          <t>SVENLJUNGA</t>
        </is>
      </c>
      <c r="G1273" t="n">
        <v>5.2</v>
      </c>
      <c r="H1273" t="n">
        <v>0</v>
      </c>
      <c r="I1273" t="n">
        <v>0</v>
      </c>
      <c r="J1273" t="n">
        <v>0</v>
      </c>
      <c r="K1273" t="n">
        <v>0</v>
      </c>
      <c r="L1273" t="n">
        <v>0</v>
      </c>
      <c r="M1273" t="n">
        <v>0</v>
      </c>
      <c r="N1273" t="n">
        <v>0</v>
      </c>
      <c r="O1273" t="n">
        <v>0</v>
      </c>
      <c r="P1273" t="n">
        <v>0</v>
      </c>
      <c r="Q1273" t="n">
        <v>0</v>
      </c>
      <c r="R1273" s="2" t="inlineStr"/>
    </row>
    <row r="1274" ht="15" customHeight="1">
      <c r="A1274" t="inlineStr">
        <is>
          <t>A 69935-2018</t>
        </is>
      </c>
      <c r="B1274" s="1" t="n">
        <v>43444</v>
      </c>
      <c r="C1274" s="1" t="n">
        <v>45227</v>
      </c>
      <c r="D1274" t="inlineStr">
        <is>
          <t>VÄSTRA GÖTALANDS LÄN</t>
        </is>
      </c>
      <c r="E1274" t="inlineStr">
        <is>
          <t>LIDKÖPING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70116-2018</t>
        </is>
      </c>
      <c r="B1275" s="1" t="n">
        <v>43444</v>
      </c>
      <c r="C1275" s="1" t="n">
        <v>45227</v>
      </c>
      <c r="D1275" t="inlineStr">
        <is>
          <t>VÄSTRA GÖTALANDS LÄN</t>
        </is>
      </c>
      <c r="E1275" t="inlineStr">
        <is>
          <t>MUNKEDAL</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68930-2018</t>
        </is>
      </c>
      <c r="B1276" s="1" t="n">
        <v>43445</v>
      </c>
      <c r="C1276" s="1" t="n">
        <v>45227</v>
      </c>
      <c r="D1276" t="inlineStr">
        <is>
          <t>VÄSTRA GÖTALANDS LÄN</t>
        </is>
      </c>
      <c r="E1276" t="inlineStr">
        <is>
          <t>SOTENÄS</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69054-2018</t>
        </is>
      </c>
      <c r="B1277" s="1" t="n">
        <v>43445</v>
      </c>
      <c r="C1277" s="1" t="n">
        <v>45227</v>
      </c>
      <c r="D1277" t="inlineStr">
        <is>
          <t>VÄSTRA GÖTALANDS LÄN</t>
        </is>
      </c>
      <c r="E1277" t="inlineStr">
        <is>
          <t>ESSUNGA</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69114-2018</t>
        </is>
      </c>
      <c r="B1278" s="1" t="n">
        <v>43445</v>
      </c>
      <c r="C1278" s="1" t="n">
        <v>45227</v>
      </c>
      <c r="D1278" t="inlineStr">
        <is>
          <t>VÄSTRA GÖTALANDS LÄN</t>
        </is>
      </c>
      <c r="E1278" t="inlineStr">
        <is>
          <t>SKÖVDE</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69127-2018</t>
        </is>
      </c>
      <c r="B1279" s="1" t="n">
        <v>43445</v>
      </c>
      <c r="C1279" s="1" t="n">
        <v>45227</v>
      </c>
      <c r="D1279" t="inlineStr">
        <is>
          <t>VÄSTRA GÖTALANDS LÄN</t>
        </is>
      </c>
      <c r="E1279" t="inlineStr">
        <is>
          <t>SKÖVDE</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69896-2018</t>
        </is>
      </c>
      <c r="B1280" s="1" t="n">
        <v>43445</v>
      </c>
      <c r="C1280" s="1" t="n">
        <v>45227</v>
      </c>
      <c r="D1280" t="inlineStr">
        <is>
          <t>VÄSTRA GÖTALANDS LÄN</t>
        </is>
      </c>
      <c r="E1280" t="inlineStr">
        <is>
          <t>TRANEMO</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70036-2018</t>
        </is>
      </c>
      <c r="B1281" s="1" t="n">
        <v>43445</v>
      </c>
      <c r="C1281" s="1" t="n">
        <v>45227</v>
      </c>
      <c r="D1281" t="inlineStr">
        <is>
          <t>VÄSTRA GÖTALANDS LÄN</t>
        </is>
      </c>
      <c r="E1281" t="inlineStr">
        <is>
          <t>MUNKEDAL</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70118-2018</t>
        </is>
      </c>
      <c r="B1282" s="1" t="n">
        <v>43445</v>
      </c>
      <c r="C1282" s="1" t="n">
        <v>45227</v>
      </c>
      <c r="D1282" t="inlineStr">
        <is>
          <t>VÄSTRA GÖTALANDS LÄN</t>
        </is>
      </c>
      <c r="E1282" t="inlineStr">
        <is>
          <t>MUNKEDAL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69118-2018</t>
        </is>
      </c>
      <c r="B1283" s="1" t="n">
        <v>43445</v>
      </c>
      <c r="C1283" s="1" t="n">
        <v>45227</v>
      </c>
      <c r="D1283" t="inlineStr">
        <is>
          <t>VÄSTRA GÖTALANDS LÄN</t>
        </is>
      </c>
      <c r="E1283" t="inlineStr">
        <is>
          <t>SKÖVDE</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69128-2018</t>
        </is>
      </c>
      <c r="B1284" s="1" t="n">
        <v>43445</v>
      </c>
      <c r="C1284" s="1" t="n">
        <v>45227</v>
      </c>
      <c r="D1284" t="inlineStr">
        <is>
          <t>VÄSTRA GÖTALANDS LÄN</t>
        </is>
      </c>
      <c r="E1284" t="inlineStr">
        <is>
          <t>SKÖVDE</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70043-2018</t>
        </is>
      </c>
      <c r="B1285" s="1" t="n">
        <v>43445</v>
      </c>
      <c r="C1285" s="1" t="n">
        <v>45227</v>
      </c>
      <c r="D1285" t="inlineStr">
        <is>
          <t>VÄSTRA GÖTALANDS LÄN</t>
        </is>
      </c>
      <c r="E1285" t="inlineStr">
        <is>
          <t>MUNKEDAL</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69048-2018</t>
        </is>
      </c>
      <c r="B1286" s="1" t="n">
        <v>43445</v>
      </c>
      <c r="C1286" s="1" t="n">
        <v>45227</v>
      </c>
      <c r="D1286" t="inlineStr">
        <is>
          <t>VÄSTRA GÖTALANDS LÄN</t>
        </is>
      </c>
      <c r="E1286" t="inlineStr">
        <is>
          <t>VARA</t>
        </is>
      </c>
      <c r="G1286" t="n">
        <v>3.2</v>
      </c>
      <c r="H1286" t="n">
        <v>0</v>
      </c>
      <c r="I1286" t="n">
        <v>0</v>
      </c>
      <c r="J1286" t="n">
        <v>0</v>
      </c>
      <c r="K1286" t="n">
        <v>0</v>
      </c>
      <c r="L1286" t="n">
        <v>0</v>
      </c>
      <c r="M1286" t="n">
        <v>0</v>
      </c>
      <c r="N1286" t="n">
        <v>0</v>
      </c>
      <c r="O1286" t="n">
        <v>0</v>
      </c>
      <c r="P1286" t="n">
        <v>0</v>
      </c>
      <c r="Q1286" t="n">
        <v>0</v>
      </c>
      <c r="R1286" s="2" t="inlineStr"/>
    </row>
    <row r="1287" ht="15" customHeight="1">
      <c r="A1287" t="inlineStr">
        <is>
          <t>A 69126-2018</t>
        </is>
      </c>
      <c r="B1287" s="1" t="n">
        <v>43445</v>
      </c>
      <c r="C1287" s="1" t="n">
        <v>45227</v>
      </c>
      <c r="D1287" t="inlineStr">
        <is>
          <t>VÄSTRA GÖTALANDS LÄN</t>
        </is>
      </c>
      <c r="E1287" t="inlineStr">
        <is>
          <t>TROLLHÄTTAN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69789-2018</t>
        </is>
      </c>
      <c r="B1288" s="1" t="n">
        <v>43445</v>
      </c>
      <c r="C1288" s="1" t="n">
        <v>45227</v>
      </c>
      <c r="D1288" t="inlineStr">
        <is>
          <t>VÄSTRA GÖTALANDS LÄN</t>
        </is>
      </c>
      <c r="E1288" t="inlineStr">
        <is>
          <t>KARLSBORG</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68936-2018</t>
        </is>
      </c>
      <c r="B1289" s="1" t="n">
        <v>43445</v>
      </c>
      <c r="C1289" s="1" t="n">
        <v>45227</v>
      </c>
      <c r="D1289" t="inlineStr">
        <is>
          <t>VÄSTRA GÖTALANDS LÄN</t>
        </is>
      </c>
      <c r="E1289" t="inlineStr">
        <is>
          <t>ESSUNGA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68973-2018</t>
        </is>
      </c>
      <c r="B1290" s="1" t="n">
        <v>43445</v>
      </c>
      <c r="C1290" s="1" t="n">
        <v>45227</v>
      </c>
      <c r="D1290" t="inlineStr">
        <is>
          <t>VÄSTRA GÖTALANDS LÄN</t>
        </is>
      </c>
      <c r="E1290" t="inlineStr">
        <is>
          <t>HERRLJUNGA</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69067-2018</t>
        </is>
      </c>
      <c r="B1291" s="1" t="n">
        <v>43445</v>
      </c>
      <c r="C1291" s="1" t="n">
        <v>45227</v>
      </c>
      <c r="D1291" t="inlineStr">
        <is>
          <t>VÄSTRA GÖTALANDS LÄN</t>
        </is>
      </c>
      <c r="E1291" t="inlineStr">
        <is>
          <t>LIDKÖPING</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69122-2018</t>
        </is>
      </c>
      <c r="B1292" s="1" t="n">
        <v>43445</v>
      </c>
      <c r="C1292" s="1" t="n">
        <v>45227</v>
      </c>
      <c r="D1292" t="inlineStr">
        <is>
          <t>VÄSTRA GÖTALANDS LÄN</t>
        </is>
      </c>
      <c r="E1292" t="inlineStr">
        <is>
          <t>SKÖVDE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69154-2018</t>
        </is>
      </c>
      <c r="B1293" s="1" t="n">
        <v>43445</v>
      </c>
      <c r="C1293" s="1" t="n">
        <v>45227</v>
      </c>
      <c r="D1293" t="inlineStr">
        <is>
          <t>VÄSTRA GÖTALANDS LÄN</t>
        </is>
      </c>
      <c r="E1293" t="inlineStr">
        <is>
          <t>SKÖVDE</t>
        </is>
      </c>
      <c r="G1293" t="n">
        <v>2.5</v>
      </c>
      <c r="H1293" t="n">
        <v>0</v>
      </c>
      <c r="I1293" t="n">
        <v>0</v>
      </c>
      <c r="J1293" t="n">
        <v>0</v>
      </c>
      <c r="K1293" t="n">
        <v>0</v>
      </c>
      <c r="L1293" t="n">
        <v>0</v>
      </c>
      <c r="M1293" t="n">
        <v>0</v>
      </c>
      <c r="N1293" t="n">
        <v>0</v>
      </c>
      <c r="O1293" t="n">
        <v>0</v>
      </c>
      <c r="P1293" t="n">
        <v>0</v>
      </c>
      <c r="Q1293" t="n">
        <v>0</v>
      </c>
      <c r="R1293" s="2" t="inlineStr"/>
    </row>
    <row r="1294" ht="15" customHeight="1">
      <c r="A1294" t="inlineStr">
        <is>
          <t>A 69173-2018</t>
        </is>
      </c>
      <c r="B1294" s="1" t="n">
        <v>43445</v>
      </c>
      <c r="C1294" s="1" t="n">
        <v>45227</v>
      </c>
      <c r="D1294" t="inlineStr">
        <is>
          <t>VÄSTRA GÖTALANDS LÄN</t>
        </is>
      </c>
      <c r="E1294" t="inlineStr">
        <is>
          <t>BORÅS</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70129-2018</t>
        </is>
      </c>
      <c r="B1295" s="1" t="n">
        <v>43445</v>
      </c>
      <c r="C1295" s="1" t="n">
        <v>45227</v>
      </c>
      <c r="D1295" t="inlineStr">
        <is>
          <t>VÄSTRA GÖTALANDS LÄN</t>
        </is>
      </c>
      <c r="E1295" t="inlineStr">
        <is>
          <t>MUNKEDAL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69256-2018</t>
        </is>
      </c>
      <c r="B1296" s="1" t="n">
        <v>43446</v>
      </c>
      <c r="C1296" s="1" t="n">
        <v>45227</v>
      </c>
      <c r="D1296" t="inlineStr">
        <is>
          <t>VÄSTRA GÖTALANDS LÄN</t>
        </is>
      </c>
      <c r="E1296" t="inlineStr">
        <is>
          <t>BENGTSFORS</t>
        </is>
      </c>
      <c r="G1296" t="n">
        <v>5.8</v>
      </c>
      <c r="H1296" t="n">
        <v>0</v>
      </c>
      <c r="I1296" t="n">
        <v>0</v>
      </c>
      <c r="J1296" t="n">
        <v>0</v>
      </c>
      <c r="K1296" t="n">
        <v>0</v>
      </c>
      <c r="L1296" t="n">
        <v>0</v>
      </c>
      <c r="M1296" t="n">
        <v>0</v>
      </c>
      <c r="N1296" t="n">
        <v>0</v>
      </c>
      <c r="O1296" t="n">
        <v>0</v>
      </c>
      <c r="P1296" t="n">
        <v>0</v>
      </c>
      <c r="Q1296" t="n">
        <v>0</v>
      </c>
      <c r="R1296" s="2" t="inlineStr"/>
    </row>
    <row r="1297" ht="15" customHeight="1">
      <c r="A1297" t="inlineStr">
        <is>
          <t>A 69307-2018</t>
        </is>
      </c>
      <c r="B1297" s="1" t="n">
        <v>43446</v>
      </c>
      <c r="C1297" s="1" t="n">
        <v>45227</v>
      </c>
      <c r="D1297" t="inlineStr">
        <is>
          <t>VÄSTRA GÖTALANDS LÄN</t>
        </is>
      </c>
      <c r="E1297" t="inlineStr">
        <is>
          <t>HERRLJUNGA</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69374-2018</t>
        </is>
      </c>
      <c r="B1298" s="1" t="n">
        <v>43446</v>
      </c>
      <c r="C1298" s="1" t="n">
        <v>45227</v>
      </c>
      <c r="D1298" t="inlineStr">
        <is>
          <t>VÄSTRA GÖTALANDS LÄN</t>
        </is>
      </c>
      <c r="E1298" t="inlineStr">
        <is>
          <t>HERRLJUNGA</t>
        </is>
      </c>
      <c r="G1298" t="n">
        <v>2.8</v>
      </c>
      <c r="H1298" t="n">
        <v>0</v>
      </c>
      <c r="I1298" t="n">
        <v>0</v>
      </c>
      <c r="J1298" t="n">
        <v>0</v>
      </c>
      <c r="K1298" t="n">
        <v>0</v>
      </c>
      <c r="L1298" t="n">
        <v>0</v>
      </c>
      <c r="M1298" t="n">
        <v>0</v>
      </c>
      <c r="N1298" t="n">
        <v>0</v>
      </c>
      <c r="O1298" t="n">
        <v>0</v>
      </c>
      <c r="P1298" t="n">
        <v>0</v>
      </c>
      <c r="Q1298" t="n">
        <v>0</v>
      </c>
      <c r="R1298" s="2" t="inlineStr"/>
    </row>
    <row r="1299" ht="15" customHeight="1">
      <c r="A1299" t="inlineStr">
        <is>
          <t>A 69469-2018</t>
        </is>
      </c>
      <c r="B1299" s="1" t="n">
        <v>43446</v>
      </c>
      <c r="C1299" s="1" t="n">
        <v>45227</v>
      </c>
      <c r="D1299" t="inlineStr">
        <is>
          <t>VÄSTRA GÖTALANDS LÄN</t>
        </is>
      </c>
      <c r="E1299" t="inlineStr">
        <is>
          <t>ORUST</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69533-2018</t>
        </is>
      </c>
      <c r="B1300" s="1" t="n">
        <v>43446</v>
      </c>
      <c r="C1300" s="1" t="n">
        <v>45227</v>
      </c>
      <c r="D1300" t="inlineStr">
        <is>
          <t>VÄSTRA GÖTALANDS LÄN</t>
        </is>
      </c>
      <c r="E1300" t="inlineStr">
        <is>
          <t>VÅRGÅRDA</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70302-2018</t>
        </is>
      </c>
      <c r="B1301" s="1" t="n">
        <v>43446</v>
      </c>
      <c r="C1301" s="1" t="n">
        <v>45227</v>
      </c>
      <c r="D1301" t="inlineStr">
        <is>
          <t>VÄSTRA GÖTALANDS LÄN</t>
        </is>
      </c>
      <c r="E1301" t="inlineStr">
        <is>
          <t>FALKÖPING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70357-2018</t>
        </is>
      </c>
      <c r="B1302" s="1" t="n">
        <v>43446</v>
      </c>
      <c r="C1302" s="1" t="n">
        <v>45227</v>
      </c>
      <c r="D1302" t="inlineStr">
        <is>
          <t>VÄSTRA GÖTALANDS LÄN</t>
        </is>
      </c>
      <c r="E1302" t="inlineStr">
        <is>
          <t>HJO</t>
        </is>
      </c>
      <c r="G1302" t="n">
        <v>21.1</v>
      </c>
      <c r="H1302" t="n">
        <v>0</v>
      </c>
      <c r="I1302" t="n">
        <v>0</v>
      </c>
      <c r="J1302" t="n">
        <v>0</v>
      </c>
      <c r="K1302" t="n">
        <v>0</v>
      </c>
      <c r="L1302" t="n">
        <v>0</v>
      </c>
      <c r="M1302" t="n">
        <v>0</v>
      </c>
      <c r="N1302" t="n">
        <v>0</v>
      </c>
      <c r="O1302" t="n">
        <v>0</v>
      </c>
      <c r="P1302" t="n">
        <v>0</v>
      </c>
      <c r="Q1302" t="n">
        <v>0</v>
      </c>
      <c r="R1302" s="2" t="inlineStr"/>
    </row>
    <row r="1303" ht="15" customHeight="1">
      <c r="A1303" t="inlineStr">
        <is>
          <t>A 70387-2018</t>
        </is>
      </c>
      <c r="B1303" s="1" t="n">
        <v>43446</v>
      </c>
      <c r="C1303" s="1" t="n">
        <v>45227</v>
      </c>
      <c r="D1303" t="inlineStr">
        <is>
          <t>VÄSTRA GÖTALANDS LÄN</t>
        </is>
      </c>
      <c r="E1303" t="inlineStr">
        <is>
          <t>STRÖMSTAD</t>
        </is>
      </c>
      <c r="F1303" t="inlineStr">
        <is>
          <t>Kyrkan</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69409-2018</t>
        </is>
      </c>
      <c r="B1304" s="1" t="n">
        <v>43446</v>
      </c>
      <c r="C1304" s="1" t="n">
        <v>45227</v>
      </c>
      <c r="D1304" t="inlineStr">
        <is>
          <t>VÄSTRA GÖTALANDS LÄN</t>
        </is>
      </c>
      <c r="E1304" t="inlineStr">
        <is>
          <t>BENGTSFORS</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70299-2018</t>
        </is>
      </c>
      <c r="B1305" s="1" t="n">
        <v>43446</v>
      </c>
      <c r="C1305" s="1" t="n">
        <v>45227</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70334-2018</t>
        </is>
      </c>
      <c r="B1306" s="1" t="n">
        <v>43446</v>
      </c>
      <c r="C1306" s="1" t="n">
        <v>45227</v>
      </c>
      <c r="D1306" t="inlineStr">
        <is>
          <t>VÄSTRA GÖTALANDS LÄN</t>
        </is>
      </c>
      <c r="E1306" t="inlineStr">
        <is>
          <t>ALINGSÅS</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70349-2018</t>
        </is>
      </c>
      <c r="B1307" s="1" t="n">
        <v>43446</v>
      </c>
      <c r="C1307" s="1" t="n">
        <v>45227</v>
      </c>
      <c r="D1307" t="inlineStr">
        <is>
          <t>VÄSTRA GÖTALANDS LÄN</t>
        </is>
      </c>
      <c r="E1307" t="inlineStr">
        <is>
          <t>TANUM</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69348-2018</t>
        </is>
      </c>
      <c r="B1308" s="1" t="n">
        <v>43446</v>
      </c>
      <c r="C1308" s="1" t="n">
        <v>45227</v>
      </c>
      <c r="D1308" t="inlineStr">
        <is>
          <t>VÄSTRA GÖTALANDS LÄN</t>
        </is>
      </c>
      <c r="E1308" t="inlineStr">
        <is>
          <t>UDDEVALLA</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69387-2018</t>
        </is>
      </c>
      <c r="B1309" s="1" t="n">
        <v>43446</v>
      </c>
      <c r="C1309" s="1" t="n">
        <v>45227</v>
      </c>
      <c r="D1309" t="inlineStr">
        <is>
          <t>VÄSTRA GÖTALANDS LÄN</t>
        </is>
      </c>
      <c r="E1309" t="inlineStr">
        <is>
          <t>LIDKÖPING</t>
        </is>
      </c>
      <c r="G1309" t="n">
        <v>1.9</v>
      </c>
      <c r="H1309" t="n">
        <v>0</v>
      </c>
      <c r="I1309" t="n">
        <v>0</v>
      </c>
      <c r="J1309" t="n">
        <v>0</v>
      </c>
      <c r="K1309" t="n">
        <v>0</v>
      </c>
      <c r="L1309" t="n">
        <v>0</v>
      </c>
      <c r="M1309" t="n">
        <v>0</v>
      </c>
      <c r="N1309" t="n">
        <v>0</v>
      </c>
      <c r="O1309" t="n">
        <v>0</v>
      </c>
      <c r="P1309" t="n">
        <v>0</v>
      </c>
      <c r="Q1309" t="n">
        <v>0</v>
      </c>
      <c r="R1309" s="2" t="inlineStr"/>
    </row>
    <row r="1310" ht="15" customHeight="1">
      <c r="A1310" t="inlineStr">
        <is>
          <t>A 69466-2018</t>
        </is>
      </c>
      <c r="B1310" s="1" t="n">
        <v>43446</v>
      </c>
      <c r="C1310" s="1" t="n">
        <v>45227</v>
      </c>
      <c r="D1310" t="inlineStr">
        <is>
          <t>VÄSTRA GÖTALANDS LÄN</t>
        </is>
      </c>
      <c r="E1310" t="inlineStr">
        <is>
          <t>ORUST</t>
        </is>
      </c>
      <c r="G1310" t="n">
        <v>13.8</v>
      </c>
      <c r="H1310" t="n">
        <v>0</v>
      </c>
      <c r="I1310" t="n">
        <v>0</v>
      </c>
      <c r="J1310" t="n">
        <v>0</v>
      </c>
      <c r="K1310" t="n">
        <v>0</v>
      </c>
      <c r="L1310" t="n">
        <v>0</v>
      </c>
      <c r="M1310" t="n">
        <v>0</v>
      </c>
      <c r="N1310" t="n">
        <v>0</v>
      </c>
      <c r="O1310" t="n">
        <v>0</v>
      </c>
      <c r="P1310" t="n">
        <v>0</v>
      </c>
      <c r="Q1310" t="n">
        <v>0</v>
      </c>
      <c r="R1310" s="2" t="inlineStr"/>
    </row>
    <row r="1311" ht="15" customHeight="1">
      <c r="A1311" t="inlineStr">
        <is>
          <t>A 70301-2018</t>
        </is>
      </c>
      <c r="B1311" s="1" t="n">
        <v>43446</v>
      </c>
      <c r="C1311" s="1" t="n">
        <v>45227</v>
      </c>
      <c r="D1311" t="inlineStr">
        <is>
          <t>VÄSTRA GÖTALANDS LÄN</t>
        </is>
      </c>
      <c r="E1311" t="inlineStr">
        <is>
          <t>FALKÖPING</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70335-2018</t>
        </is>
      </c>
      <c r="B1312" s="1" t="n">
        <v>43446</v>
      </c>
      <c r="C1312" s="1" t="n">
        <v>45227</v>
      </c>
      <c r="D1312" t="inlineStr">
        <is>
          <t>VÄSTRA GÖTALANDS LÄN</t>
        </is>
      </c>
      <c r="E1312" t="inlineStr">
        <is>
          <t>ALINGSÅS</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70356-2018</t>
        </is>
      </c>
      <c r="B1313" s="1" t="n">
        <v>43446</v>
      </c>
      <c r="C1313" s="1" t="n">
        <v>45227</v>
      </c>
      <c r="D1313" t="inlineStr">
        <is>
          <t>VÄSTRA GÖTALANDS LÄN</t>
        </is>
      </c>
      <c r="E1313" t="inlineStr">
        <is>
          <t>HJO</t>
        </is>
      </c>
      <c r="G1313" t="n">
        <v>3.4</v>
      </c>
      <c r="H1313" t="n">
        <v>0</v>
      </c>
      <c r="I1313" t="n">
        <v>0</v>
      </c>
      <c r="J1313" t="n">
        <v>0</v>
      </c>
      <c r="K1313" t="n">
        <v>0</v>
      </c>
      <c r="L1313" t="n">
        <v>0</v>
      </c>
      <c r="M1313" t="n">
        <v>0</v>
      </c>
      <c r="N1313" t="n">
        <v>0</v>
      </c>
      <c r="O1313" t="n">
        <v>0</v>
      </c>
      <c r="P1313" t="n">
        <v>0</v>
      </c>
      <c r="Q1313" t="n">
        <v>0</v>
      </c>
      <c r="R1313" s="2" t="inlineStr"/>
    </row>
    <row r="1314" ht="15" customHeight="1">
      <c r="A1314" t="inlineStr">
        <is>
          <t>A 70298-2018</t>
        </is>
      </c>
      <c r="B1314" s="1" t="n">
        <v>43446</v>
      </c>
      <c r="C1314" s="1" t="n">
        <v>45227</v>
      </c>
      <c r="D1314" t="inlineStr">
        <is>
          <t>VÄSTRA GÖTALANDS LÄN</t>
        </is>
      </c>
      <c r="E1314" t="inlineStr">
        <is>
          <t>FALKÖPING</t>
        </is>
      </c>
      <c r="G1314" t="n">
        <v>4.9</v>
      </c>
      <c r="H1314" t="n">
        <v>0</v>
      </c>
      <c r="I1314" t="n">
        <v>0</v>
      </c>
      <c r="J1314" t="n">
        <v>0</v>
      </c>
      <c r="K1314" t="n">
        <v>0</v>
      </c>
      <c r="L1314" t="n">
        <v>0</v>
      </c>
      <c r="M1314" t="n">
        <v>0</v>
      </c>
      <c r="N1314" t="n">
        <v>0</v>
      </c>
      <c r="O1314" t="n">
        <v>0</v>
      </c>
      <c r="P1314" t="n">
        <v>0</v>
      </c>
      <c r="Q1314" t="n">
        <v>0</v>
      </c>
      <c r="R1314" s="2" t="inlineStr"/>
    </row>
    <row r="1315" ht="15" customHeight="1">
      <c r="A1315" t="inlineStr">
        <is>
          <t>A 70361-2018</t>
        </is>
      </c>
      <c r="B1315" s="1" t="n">
        <v>43446</v>
      </c>
      <c r="C1315" s="1" t="n">
        <v>45227</v>
      </c>
      <c r="D1315" t="inlineStr">
        <is>
          <t>VÄSTRA GÖTALANDS LÄN</t>
        </is>
      </c>
      <c r="E1315" t="inlineStr">
        <is>
          <t>TANUM</t>
        </is>
      </c>
      <c r="G1315" t="n">
        <v>2.9</v>
      </c>
      <c r="H1315" t="n">
        <v>0</v>
      </c>
      <c r="I1315" t="n">
        <v>0</v>
      </c>
      <c r="J1315" t="n">
        <v>0</v>
      </c>
      <c r="K1315" t="n">
        <v>0</v>
      </c>
      <c r="L1315" t="n">
        <v>0</v>
      </c>
      <c r="M1315" t="n">
        <v>0</v>
      </c>
      <c r="N1315" t="n">
        <v>0</v>
      </c>
      <c r="O1315" t="n">
        <v>0</v>
      </c>
      <c r="P1315" t="n">
        <v>0</v>
      </c>
      <c r="Q1315" t="n">
        <v>0</v>
      </c>
      <c r="R1315" s="2" t="inlineStr"/>
    </row>
    <row r="1316" ht="15" customHeight="1">
      <c r="A1316" t="inlineStr">
        <is>
          <t>A 69632-2018</t>
        </is>
      </c>
      <c r="B1316" s="1" t="n">
        <v>43447</v>
      </c>
      <c r="C1316" s="1" t="n">
        <v>45227</v>
      </c>
      <c r="D1316" t="inlineStr">
        <is>
          <t>VÄSTRA GÖTALANDS LÄN</t>
        </is>
      </c>
      <c r="E1316" t="inlineStr">
        <is>
          <t>VARA</t>
        </is>
      </c>
      <c r="G1316" t="n">
        <v>1</v>
      </c>
      <c r="H1316" t="n">
        <v>0</v>
      </c>
      <c r="I1316" t="n">
        <v>0</v>
      </c>
      <c r="J1316" t="n">
        <v>0</v>
      </c>
      <c r="K1316" t="n">
        <v>0</v>
      </c>
      <c r="L1316" t="n">
        <v>0</v>
      </c>
      <c r="M1316" t="n">
        <v>0</v>
      </c>
      <c r="N1316" t="n">
        <v>0</v>
      </c>
      <c r="O1316" t="n">
        <v>0</v>
      </c>
      <c r="P1316" t="n">
        <v>0</v>
      </c>
      <c r="Q1316" t="n">
        <v>0</v>
      </c>
      <c r="R1316" s="2" t="inlineStr"/>
    </row>
    <row r="1317" ht="15" customHeight="1">
      <c r="A1317" t="inlineStr">
        <is>
          <t>A 69722-2018</t>
        </is>
      </c>
      <c r="B1317" s="1" t="n">
        <v>43447</v>
      </c>
      <c r="C1317" s="1" t="n">
        <v>45227</v>
      </c>
      <c r="D1317" t="inlineStr">
        <is>
          <t>VÄSTRA GÖTALANDS LÄN</t>
        </is>
      </c>
      <c r="E1317" t="inlineStr">
        <is>
          <t>TRANEMO</t>
        </is>
      </c>
      <c r="G1317" t="n">
        <v>2.7</v>
      </c>
      <c r="H1317" t="n">
        <v>0</v>
      </c>
      <c r="I1317" t="n">
        <v>0</v>
      </c>
      <c r="J1317" t="n">
        <v>0</v>
      </c>
      <c r="K1317" t="n">
        <v>0</v>
      </c>
      <c r="L1317" t="n">
        <v>0</v>
      </c>
      <c r="M1317" t="n">
        <v>0</v>
      </c>
      <c r="N1317" t="n">
        <v>0</v>
      </c>
      <c r="O1317" t="n">
        <v>0</v>
      </c>
      <c r="P1317" t="n">
        <v>0</v>
      </c>
      <c r="Q1317" t="n">
        <v>0</v>
      </c>
      <c r="R1317" s="2" t="inlineStr"/>
    </row>
    <row r="1318" ht="15" customHeight="1">
      <c r="A1318" t="inlineStr">
        <is>
          <t>A 70525-2018</t>
        </is>
      </c>
      <c r="B1318" s="1" t="n">
        <v>43447</v>
      </c>
      <c r="C1318" s="1" t="n">
        <v>45227</v>
      </c>
      <c r="D1318" t="inlineStr">
        <is>
          <t>VÄSTRA GÖTALANDS LÄN</t>
        </is>
      </c>
      <c r="E1318" t="inlineStr">
        <is>
          <t>STRÖMSTAD</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70554-2018</t>
        </is>
      </c>
      <c r="B1319" s="1" t="n">
        <v>43447</v>
      </c>
      <c r="C1319" s="1" t="n">
        <v>45227</v>
      </c>
      <c r="D1319" t="inlineStr">
        <is>
          <t>VÄSTRA GÖTALANDS LÄN</t>
        </is>
      </c>
      <c r="E1319" t="inlineStr">
        <is>
          <t>VARA</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70690-2018</t>
        </is>
      </c>
      <c r="B1320" s="1" t="n">
        <v>43447</v>
      </c>
      <c r="C1320" s="1" t="n">
        <v>45227</v>
      </c>
      <c r="D1320" t="inlineStr">
        <is>
          <t>VÄSTRA GÖTALANDS LÄN</t>
        </is>
      </c>
      <c r="E1320" t="inlineStr">
        <is>
          <t>MARIESTAD</t>
        </is>
      </c>
      <c r="F1320" t="inlineStr">
        <is>
          <t>Kyrkan</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69774-2018</t>
        </is>
      </c>
      <c r="B1321" s="1" t="n">
        <v>43447</v>
      </c>
      <c r="C1321" s="1" t="n">
        <v>45227</v>
      </c>
      <c r="D1321" t="inlineStr">
        <is>
          <t>VÄSTRA GÖTALANDS LÄN</t>
        </is>
      </c>
      <c r="E1321" t="inlineStr">
        <is>
          <t>TANUM</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69925-2018</t>
        </is>
      </c>
      <c r="B1322" s="1" t="n">
        <v>43447</v>
      </c>
      <c r="C1322" s="1" t="n">
        <v>45227</v>
      </c>
      <c r="D1322" t="inlineStr">
        <is>
          <t>VÄSTRA GÖTALANDS LÄN</t>
        </is>
      </c>
      <c r="E1322" t="inlineStr">
        <is>
          <t>FALKÖPING</t>
        </is>
      </c>
      <c r="F1322" t="inlineStr">
        <is>
          <t>Kyrkan</t>
        </is>
      </c>
      <c r="G1322" t="n">
        <v>3.6</v>
      </c>
      <c r="H1322" t="n">
        <v>0</v>
      </c>
      <c r="I1322" t="n">
        <v>0</v>
      </c>
      <c r="J1322" t="n">
        <v>0</v>
      </c>
      <c r="K1322" t="n">
        <v>0</v>
      </c>
      <c r="L1322" t="n">
        <v>0</v>
      </c>
      <c r="M1322" t="n">
        <v>0</v>
      </c>
      <c r="N1322" t="n">
        <v>0</v>
      </c>
      <c r="O1322" t="n">
        <v>0</v>
      </c>
      <c r="P1322" t="n">
        <v>0</v>
      </c>
      <c r="Q1322" t="n">
        <v>0</v>
      </c>
      <c r="R1322" s="2" t="inlineStr"/>
    </row>
    <row r="1323" ht="15" customHeight="1">
      <c r="A1323" t="inlineStr">
        <is>
          <t>A 70529-2018</t>
        </is>
      </c>
      <c r="B1323" s="1" t="n">
        <v>43447</v>
      </c>
      <c r="C1323" s="1" t="n">
        <v>45227</v>
      </c>
      <c r="D1323" t="inlineStr">
        <is>
          <t>VÄSTRA GÖTALANDS LÄN</t>
        </is>
      </c>
      <c r="E1323" t="inlineStr">
        <is>
          <t>STRÖMSTAD</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69613-2018</t>
        </is>
      </c>
      <c r="B1324" s="1" t="n">
        <v>43447</v>
      </c>
      <c r="C1324" s="1" t="n">
        <v>45227</v>
      </c>
      <c r="D1324" t="inlineStr">
        <is>
          <t>VÄSTRA GÖTALANDS LÄN</t>
        </is>
      </c>
      <c r="E1324" t="inlineStr">
        <is>
          <t>MARK</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69626-2018</t>
        </is>
      </c>
      <c r="B1325" s="1" t="n">
        <v>43447</v>
      </c>
      <c r="C1325" s="1" t="n">
        <v>45227</v>
      </c>
      <c r="D1325" t="inlineStr">
        <is>
          <t>VÄSTRA GÖTALANDS LÄN</t>
        </is>
      </c>
      <c r="E1325" t="inlineStr">
        <is>
          <t>VÅRGÅRDA</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69694-2018</t>
        </is>
      </c>
      <c r="B1326" s="1" t="n">
        <v>43447</v>
      </c>
      <c r="C1326" s="1" t="n">
        <v>45227</v>
      </c>
      <c r="D1326" t="inlineStr">
        <is>
          <t>VÄSTRA GÖTALANDS LÄN</t>
        </is>
      </c>
      <c r="E1326" t="inlineStr">
        <is>
          <t>MARK</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69785-2018</t>
        </is>
      </c>
      <c r="B1327" s="1" t="n">
        <v>43447</v>
      </c>
      <c r="C1327" s="1" t="n">
        <v>45227</v>
      </c>
      <c r="D1327" t="inlineStr">
        <is>
          <t>VÄSTRA GÖTALANDS LÄN</t>
        </is>
      </c>
      <c r="E1327" t="inlineStr">
        <is>
          <t>STRÖMSTAD</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69815-2018</t>
        </is>
      </c>
      <c r="B1328" s="1" t="n">
        <v>43447</v>
      </c>
      <c r="C1328" s="1" t="n">
        <v>45227</v>
      </c>
      <c r="D1328" t="inlineStr">
        <is>
          <t>VÄSTRA GÖTALANDS LÄN</t>
        </is>
      </c>
      <c r="E1328" t="inlineStr">
        <is>
          <t>SVENLJUNGA</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69841-2018</t>
        </is>
      </c>
      <c r="B1329" s="1" t="n">
        <v>43447</v>
      </c>
      <c r="C1329" s="1" t="n">
        <v>45227</v>
      </c>
      <c r="D1329" t="inlineStr">
        <is>
          <t>VÄSTRA GÖTALANDS LÄN</t>
        </is>
      </c>
      <c r="E1329" t="inlineStr">
        <is>
          <t>SVENLJUNGA</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70467-2018</t>
        </is>
      </c>
      <c r="B1330" s="1" t="n">
        <v>43447</v>
      </c>
      <c r="C1330" s="1" t="n">
        <v>45227</v>
      </c>
      <c r="D1330" t="inlineStr">
        <is>
          <t>VÄSTRA GÖTALANDS LÄN</t>
        </is>
      </c>
      <c r="E1330" t="inlineStr">
        <is>
          <t>TANUM</t>
        </is>
      </c>
      <c r="G1330" t="n">
        <v>3</v>
      </c>
      <c r="H1330" t="n">
        <v>0</v>
      </c>
      <c r="I1330" t="n">
        <v>0</v>
      </c>
      <c r="J1330" t="n">
        <v>0</v>
      </c>
      <c r="K1330" t="n">
        <v>0</v>
      </c>
      <c r="L1330" t="n">
        <v>0</v>
      </c>
      <c r="M1330" t="n">
        <v>0</v>
      </c>
      <c r="N1330" t="n">
        <v>0</v>
      </c>
      <c r="O1330" t="n">
        <v>0</v>
      </c>
      <c r="P1330" t="n">
        <v>0</v>
      </c>
      <c r="Q1330" t="n">
        <v>0</v>
      </c>
      <c r="R1330" s="2" t="inlineStr"/>
    </row>
    <row r="1331" ht="15" customHeight="1">
      <c r="A1331" t="inlineStr">
        <is>
          <t>A 70551-2018</t>
        </is>
      </c>
      <c r="B1331" s="1" t="n">
        <v>43447</v>
      </c>
      <c r="C1331" s="1" t="n">
        <v>45227</v>
      </c>
      <c r="D1331" t="inlineStr">
        <is>
          <t>VÄSTRA GÖTALANDS LÄN</t>
        </is>
      </c>
      <c r="E1331" t="inlineStr">
        <is>
          <t>FALKÖPING</t>
        </is>
      </c>
      <c r="G1331" t="n">
        <v>2.9</v>
      </c>
      <c r="H1331" t="n">
        <v>0</v>
      </c>
      <c r="I1331" t="n">
        <v>0</v>
      </c>
      <c r="J1331" t="n">
        <v>0</v>
      </c>
      <c r="K1331" t="n">
        <v>0</v>
      </c>
      <c r="L1331" t="n">
        <v>0</v>
      </c>
      <c r="M1331" t="n">
        <v>0</v>
      </c>
      <c r="N1331" t="n">
        <v>0</v>
      </c>
      <c r="O1331" t="n">
        <v>0</v>
      </c>
      <c r="P1331" t="n">
        <v>0</v>
      </c>
      <c r="Q1331" t="n">
        <v>0</v>
      </c>
      <c r="R1331" s="2" t="inlineStr"/>
    </row>
    <row r="1332" ht="15" customHeight="1">
      <c r="A1332" t="inlineStr">
        <is>
          <t>A 69941-2018</t>
        </is>
      </c>
      <c r="B1332" s="1" t="n">
        <v>43447</v>
      </c>
      <c r="C1332" s="1" t="n">
        <v>45227</v>
      </c>
      <c r="D1332" t="inlineStr">
        <is>
          <t>VÄSTRA GÖTALANDS LÄN</t>
        </is>
      </c>
      <c r="E1332" t="inlineStr">
        <is>
          <t>ALINGSÅS</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69984-2018</t>
        </is>
      </c>
      <c r="B1333" s="1" t="n">
        <v>43447</v>
      </c>
      <c r="C1333" s="1" t="n">
        <v>45227</v>
      </c>
      <c r="D1333" t="inlineStr">
        <is>
          <t>VÄSTRA GÖTALANDS LÄN</t>
        </is>
      </c>
      <c r="E1333" t="inlineStr">
        <is>
          <t>BORÅS</t>
        </is>
      </c>
      <c r="F1333" t="inlineStr">
        <is>
          <t>Kyrkan</t>
        </is>
      </c>
      <c r="G1333" t="n">
        <v>4.2</v>
      </c>
      <c r="H1333" t="n">
        <v>0</v>
      </c>
      <c r="I1333" t="n">
        <v>0</v>
      </c>
      <c r="J1333" t="n">
        <v>0</v>
      </c>
      <c r="K1333" t="n">
        <v>0</v>
      </c>
      <c r="L1333" t="n">
        <v>0</v>
      </c>
      <c r="M1333" t="n">
        <v>0</v>
      </c>
      <c r="N1333" t="n">
        <v>0</v>
      </c>
      <c r="O1333" t="n">
        <v>0</v>
      </c>
      <c r="P1333" t="n">
        <v>0</v>
      </c>
      <c r="Q1333" t="n">
        <v>0</v>
      </c>
      <c r="R1333" s="2" t="inlineStr"/>
    </row>
    <row r="1334" ht="15" customHeight="1">
      <c r="A1334" t="inlineStr">
        <is>
          <t>A 70470-2018</t>
        </is>
      </c>
      <c r="B1334" s="1" t="n">
        <v>43447</v>
      </c>
      <c r="C1334" s="1" t="n">
        <v>45227</v>
      </c>
      <c r="D1334" t="inlineStr">
        <is>
          <t>VÄSTRA GÖTALANDS LÄN</t>
        </is>
      </c>
      <c r="E1334" t="inlineStr">
        <is>
          <t>STRÖMSTAD</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70104-2018</t>
        </is>
      </c>
      <c r="B1335" s="1" t="n">
        <v>43448</v>
      </c>
      <c r="C1335" s="1" t="n">
        <v>45227</v>
      </c>
      <c r="D1335" t="inlineStr">
        <is>
          <t>VÄSTRA GÖTALANDS LÄN</t>
        </is>
      </c>
      <c r="E1335" t="inlineStr">
        <is>
          <t>TÖREBODA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70213-2018</t>
        </is>
      </c>
      <c r="B1336" s="1" t="n">
        <v>43448</v>
      </c>
      <c r="C1336" s="1" t="n">
        <v>45227</v>
      </c>
      <c r="D1336" t="inlineStr">
        <is>
          <t>VÄSTRA GÖTALANDS LÄN</t>
        </is>
      </c>
      <c r="E1336" t="inlineStr">
        <is>
          <t>LYSEKIL</t>
        </is>
      </c>
      <c r="G1336" t="n">
        <v>5.8</v>
      </c>
      <c r="H1336" t="n">
        <v>0</v>
      </c>
      <c r="I1336" t="n">
        <v>0</v>
      </c>
      <c r="J1336" t="n">
        <v>0</v>
      </c>
      <c r="K1336" t="n">
        <v>0</v>
      </c>
      <c r="L1336" t="n">
        <v>0</v>
      </c>
      <c r="M1336" t="n">
        <v>0</v>
      </c>
      <c r="N1336" t="n">
        <v>0</v>
      </c>
      <c r="O1336" t="n">
        <v>0</v>
      </c>
      <c r="P1336" t="n">
        <v>0</v>
      </c>
      <c r="Q1336" t="n">
        <v>0</v>
      </c>
      <c r="R1336" s="2" t="inlineStr"/>
    </row>
    <row r="1337" ht="15" customHeight="1">
      <c r="A1337" t="inlineStr">
        <is>
          <t>A 69998-2018</t>
        </is>
      </c>
      <c r="B1337" s="1" t="n">
        <v>43448</v>
      </c>
      <c r="C1337" s="1" t="n">
        <v>45227</v>
      </c>
      <c r="D1337" t="inlineStr">
        <is>
          <t>VÄSTRA GÖTALANDS LÄN</t>
        </is>
      </c>
      <c r="E1337" t="inlineStr">
        <is>
          <t>SVENLJUNGA</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70097-2018</t>
        </is>
      </c>
      <c r="B1338" s="1" t="n">
        <v>43448</v>
      </c>
      <c r="C1338" s="1" t="n">
        <v>45227</v>
      </c>
      <c r="D1338" t="inlineStr">
        <is>
          <t>VÄSTRA GÖTALANDS LÄN</t>
        </is>
      </c>
      <c r="E1338" t="inlineStr">
        <is>
          <t>TRANEMO</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70173-2018</t>
        </is>
      </c>
      <c r="B1339" s="1" t="n">
        <v>43448</v>
      </c>
      <c r="C1339" s="1" t="n">
        <v>45227</v>
      </c>
      <c r="D1339" t="inlineStr">
        <is>
          <t>VÄSTRA GÖTALANDS LÄN</t>
        </is>
      </c>
      <c r="E1339" t="inlineStr">
        <is>
          <t>TROLLHÄTTAN</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70834-2018</t>
        </is>
      </c>
      <c r="B1340" s="1" t="n">
        <v>43448</v>
      </c>
      <c r="C1340" s="1" t="n">
        <v>45227</v>
      </c>
      <c r="D1340" t="inlineStr">
        <is>
          <t>VÄSTRA GÖTALANDS LÄN</t>
        </is>
      </c>
      <c r="E1340" t="inlineStr">
        <is>
          <t>LIDKÖPING</t>
        </is>
      </c>
      <c r="F1340" t="inlineStr">
        <is>
          <t>Kommuner</t>
        </is>
      </c>
      <c r="G1340" t="n">
        <v>2.2</v>
      </c>
      <c r="H1340" t="n">
        <v>0</v>
      </c>
      <c r="I1340" t="n">
        <v>0</v>
      </c>
      <c r="J1340" t="n">
        <v>0</v>
      </c>
      <c r="K1340" t="n">
        <v>0</v>
      </c>
      <c r="L1340" t="n">
        <v>0</v>
      </c>
      <c r="M1340" t="n">
        <v>0</v>
      </c>
      <c r="N1340" t="n">
        <v>0</v>
      </c>
      <c r="O1340" t="n">
        <v>0</v>
      </c>
      <c r="P1340" t="n">
        <v>0</v>
      </c>
      <c r="Q1340" t="n">
        <v>0</v>
      </c>
      <c r="R1340" s="2" t="inlineStr"/>
    </row>
    <row r="1341" ht="15" customHeight="1">
      <c r="A1341" t="inlineStr">
        <is>
          <t>A 70185-2018</t>
        </is>
      </c>
      <c r="B1341" s="1" t="n">
        <v>43448</v>
      </c>
      <c r="C1341" s="1" t="n">
        <v>45227</v>
      </c>
      <c r="D1341" t="inlineStr">
        <is>
          <t>VÄSTRA GÖTALANDS LÄN</t>
        </is>
      </c>
      <c r="E1341" t="inlineStr">
        <is>
          <t>STENUNGSUND</t>
        </is>
      </c>
      <c r="G1341" t="n">
        <v>3.9</v>
      </c>
      <c r="H1341" t="n">
        <v>0</v>
      </c>
      <c r="I1341" t="n">
        <v>0</v>
      </c>
      <c r="J1341" t="n">
        <v>0</v>
      </c>
      <c r="K1341" t="n">
        <v>0</v>
      </c>
      <c r="L1341" t="n">
        <v>0</v>
      </c>
      <c r="M1341" t="n">
        <v>0</v>
      </c>
      <c r="N1341" t="n">
        <v>0</v>
      </c>
      <c r="O1341" t="n">
        <v>0</v>
      </c>
      <c r="P1341" t="n">
        <v>0</v>
      </c>
      <c r="Q1341" t="n">
        <v>0</v>
      </c>
      <c r="R1341" s="2" t="inlineStr"/>
    </row>
    <row r="1342" ht="15" customHeight="1">
      <c r="A1342" t="inlineStr">
        <is>
          <t>A 70831-2018</t>
        </is>
      </c>
      <c r="B1342" s="1" t="n">
        <v>43448</v>
      </c>
      <c r="C1342" s="1" t="n">
        <v>45227</v>
      </c>
      <c r="D1342" t="inlineStr">
        <is>
          <t>VÄSTRA GÖTALANDS LÄN</t>
        </is>
      </c>
      <c r="E1342" t="inlineStr">
        <is>
          <t>LIDKÖPING</t>
        </is>
      </c>
      <c r="F1342" t="inlineStr">
        <is>
          <t>Kommuner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70935-2018</t>
        </is>
      </c>
      <c r="B1343" s="1" t="n">
        <v>43448</v>
      </c>
      <c r="C1343" s="1" t="n">
        <v>45227</v>
      </c>
      <c r="D1343" t="inlineStr">
        <is>
          <t>VÄSTRA GÖTALANDS LÄN</t>
        </is>
      </c>
      <c r="E1343" t="inlineStr">
        <is>
          <t>LIDKÖPING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71304-2018</t>
        </is>
      </c>
      <c r="B1344" s="1" t="n">
        <v>43448</v>
      </c>
      <c r="C1344" s="1" t="n">
        <v>45227</v>
      </c>
      <c r="D1344" t="inlineStr">
        <is>
          <t>VÄSTRA GÖTALANDS LÄN</t>
        </is>
      </c>
      <c r="E1344" t="inlineStr">
        <is>
          <t>STRÖMSTAD</t>
        </is>
      </c>
      <c r="G1344" t="n">
        <v>1.2</v>
      </c>
      <c r="H1344" t="n">
        <v>0</v>
      </c>
      <c r="I1344" t="n">
        <v>0</v>
      </c>
      <c r="J1344" t="n">
        <v>0</v>
      </c>
      <c r="K1344" t="n">
        <v>0</v>
      </c>
      <c r="L1344" t="n">
        <v>0</v>
      </c>
      <c r="M1344" t="n">
        <v>0</v>
      </c>
      <c r="N1344" t="n">
        <v>0</v>
      </c>
      <c r="O1344" t="n">
        <v>0</v>
      </c>
      <c r="P1344" t="n">
        <v>0</v>
      </c>
      <c r="Q1344" t="n">
        <v>0</v>
      </c>
      <c r="R1344" s="2" t="inlineStr"/>
    </row>
    <row r="1345" ht="15" customHeight="1">
      <c r="A1345" t="inlineStr">
        <is>
          <t>A 71394-2018</t>
        </is>
      </c>
      <c r="B1345" s="1" t="n">
        <v>43448</v>
      </c>
      <c r="C1345" s="1" t="n">
        <v>45227</v>
      </c>
      <c r="D1345" t="inlineStr">
        <is>
          <t>VÄSTRA GÖTALANDS LÄN</t>
        </is>
      </c>
      <c r="E1345" t="inlineStr">
        <is>
          <t>BENGTSFORS</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70822-2018</t>
        </is>
      </c>
      <c r="B1346" s="1" t="n">
        <v>43448</v>
      </c>
      <c r="C1346" s="1" t="n">
        <v>45227</v>
      </c>
      <c r="D1346" t="inlineStr">
        <is>
          <t>VÄSTRA GÖTALANDS LÄN</t>
        </is>
      </c>
      <c r="E1346" t="inlineStr">
        <is>
          <t>TROLLHÄTTAN</t>
        </is>
      </c>
      <c r="G1346" t="n">
        <v>2.9</v>
      </c>
      <c r="H1346" t="n">
        <v>0</v>
      </c>
      <c r="I1346" t="n">
        <v>0</v>
      </c>
      <c r="J1346" t="n">
        <v>0</v>
      </c>
      <c r="K1346" t="n">
        <v>0</v>
      </c>
      <c r="L1346" t="n">
        <v>0</v>
      </c>
      <c r="M1346" t="n">
        <v>0</v>
      </c>
      <c r="N1346" t="n">
        <v>0</v>
      </c>
      <c r="O1346" t="n">
        <v>0</v>
      </c>
      <c r="P1346" t="n">
        <v>0</v>
      </c>
      <c r="Q1346" t="n">
        <v>0</v>
      </c>
      <c r="R1346" s="2" t="inlineStr"/>
    </row>
    <row r="1347" ht="15" customHeight="1">
      <c r="A1347" t="inlineStr">
        <is>
          <t>A 17091-2019</t>
        </is>
      </c>
      <c r="B1347" s="1" t="n">
        <v>43450</v>
      </c>
      <c r="C1347" s="1" t="n">
        <v>45227</v>
      </c>
      <c r="D1347" t="inlineStr">
        <is>
          <t>VÄSTRA GÖTALANDS LÄN</t>
        </is>
      </c>
      <c r="E1347" t="inlineStr">
        <is>
          <t>STENUNGSUND</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70496-2018</t>
        </is>
      </c>
      <c r="B1348" s="1" t="n">
        <v>43451</v>
      </c>
      <c r="C1348" s="1" t="n">
        <v>45227</v>
      </c>
      <c r="D1348" t="inlineStr">
        <is>
          <t>VÄSTRA GÖTALANDS LÄN</t>
        </is>
      </c>
      <c r="E1348" t="inlineStr">
        <is>
          <t>MARIESTAD</t>
        </is>
      </c>
      <c r="F1348" t="inlineStr">
        <is>
          <t>Kyrkan</t>
        </is>
      </c>
      <c r="G1348" t="n">
        <v>4.2</v>
      </c>
      <c r="H1348" t="n">
        <v>0</v>
      </c>
      <c r="I1348" t="n">
        <v>0</v>
      </c>
      <c r="J1348" t="n">
        <v>0</v>
      </c>
      <c r="K1348" t="n">
        <v>0</v>
      </c>
      <c r="L1348" t="n">
        <v>0</v>
      </c>
      <c r="M1348" t="n">
        <v>0</v>
      </c>
      <c r="N1348" t="n">
        <v>0</v>
      </c>
      <c r="O1348" t="n">
        <v>0</v>
      </c>
      <c r="P1348" t="n">
        <v>0</v>
      </c>
      <c r="Q1348" t="n">
        <v>0</v>
      </c>
      <c r="R1348" s="2" t="inlineStr"/>
    </row>
    <row r="1349" ht="15" customHeight="1">
      <c r="A1349" t="inlineStr">
        <is>
          <t>A 70634-2018</t>
        </is>
      </c>
      <c r="B1349" s="1" t="n">
        <v>43451</v>
      </c>
      <c r="C1349" s="1" t="n">
        <v>45227</v>
      </c>
      <c r="D1349" t="inlineStr">
        <is>
          <t>VÄSTRA GÖTALANDS LÄN</t>
        </is>
      </c>
      <c r="E1349" t="inlineStr">
        <is>
          <t>BOLLEBYGD</t>
        </is>
      </c>
      <c r="G1349" t="n">
        <v>2.2</v>
      </c>
      <c r="H1349" t="n">
        <v>0</v>
      </c>
      <c r="I1349" t="n">
        <v>0</v>
      </c>
      <c r="J1349" t="n">
        <v>0</v>
      </c>
      <c r="K1349" t="n">
        <v>0</v>
      </c>
      <c r="L1349" t="n">
        <v>0</v>
      </c>
      <c r="M1349" t="n">
        <v>0</v>
      </c>
      <c r="N1349" t="n">
        <v>0</v>
      </c>
      <c r="O1349" t="n">
        <v>0</v>
      </c>
      <c r="P1349" t="n">
        <v>0</v>
      </c>
      <c r="Q1349" t="n">
        <v>0</v>
      </c>
      <c r="R1349" s="2" t="inlineStr"/>
    </row>
    <row r="1350" ht="15" customHeight="1">
      <c r="A1350" t="inlineStr">
        <is>
          <t>A 70753-2018</t>
        </is>
      </c>
      <c r="B1350" s="1" t="n">
        <v>43451</v>
      </c>
      <c r="C1350" s="1" t="n">
        <v>45227</v>
      </c>
      <c r="D1350" t="inlineStr">
        <is>
          <t>VÄSTRA GÖTALANDS LÄN</t>
        </is>
      </c>
      <c r="E1350" t="inlineStr">
        <is>
          <t>FÄRGELANDA</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70757-2018</t>
        </is>
      </c>
      <c r="B1351" s="1" t="n">
        <v>43451</v>
      </c>
      <c r="C1351" s="1" t="n">
        <v>45227</v>
      </c>
      <c r="D1351" t="inlineStr">
        <is>
          <t>VÄSTRA GÖTALANDS LÄN</t>
        </is>
      </c>
      <c r="E1351" t="inlineStr">
        <is>
          <t>FÄRGELANDA</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70458-2018</t>
        </is>
      </c>
      <c r="B1352" s="1" t="n">
        <v>43451</v>
      </c>
      <c r="C1352" s="1" t="n">
        <v>45227</v>
      </c>
      <c r="D1352" t="inlineStr">
        <is>
          <t>VÄSTRA GÖTALANDS LÄN</t>
        </is>
      </c>
      <c r="E1352" t="inlineStr">
        <is>
          <t>MARK</t>
        </is>
      </c>
      <c r="G1352" t="n">
        <v>7.1</v>
      </c>
      <c r="H1352" t="n">
        <v>0</v>
      </c>
      <c r="I1352" t="n">
        <v>0</v>
      </c>
      <c r="J1352" t="n">
        <v>0</v>
      </c>
      <c r="K1352" t="n">
        <v>0</v>
      </c>
      <c r="L1352" t="n">
        <v>0</v>
      </c>
      <c r="M1352" t="n">
        <v>0</v>
      </c>
      <c r="N1352" t="n">
        <v>0</v>
      </c>
      <c r="O1352" t="n">
        <v>0</v>
      </c>
      <c r="P1352" t="n">
        <v>0</v>
      </c>
      <c r="Q1352" t="n">
        <v>0</v>
      </c>
      <c r="R1352" s="2" t="inlineStr"/>
    </row>
    <row r="1353" ht="15" customHeight="1">
      <c r="A1353" t="inlineStr">
        <is>
          <t>A 70521-2018</t>
        </is>
      </c>
      <c r="B1353" s="1" t="n">
        <v>43451</v>
      </c>
      <c r="C1353" s="1" t="n">
        <v>45227</v>
      </c>
      <c r="D1353" t="inlineStr">
        <is>
          <t>VÄSTRA GÖTALANDS LÄN</t>
        </is>
      </c>
      <c r="E1353" t="inlineStr">
        <is>
          <t>FÄRGELANDA</t>
        </is>
      </c>
      <c r="G1353" t="n">
        <v>6.4</v>
      </c>
      <c r="H1353" t="n">
        <v>0</v>
      </c>
      <c r="I1353" t="n">
        <v>0</v>
      </c>
      <c r="J1353" t="n">
        <v>0</v>
      </c>
      <c r="K1353" t="n">
        <v>0</v>
      </c>
      <c r="L1353" t="n">
        <v>0</v>
      </c>
      <c r="M1353" t="n">
        <v>0</v>
      </c>
      <c r="N1353" t="n">
        <v>0</v>
      </c>
      <c r="O1353" t="n">
        <v>0</v>
      </c>
      <c r="P1353" t="n">
        <v>0</v>
      </c>
      <c r="Q1353" t="n">
        <v>0</v>
      </c>
      <c r="R1353" s="2" t="inlineStr"/>
    </row>
    <row r="1354" ht="15" customHeight="1">
      <c r="A1354" t="inlineStr">
        <is>
          <t>A 70538-2018</t>
        </is>
      </c>
      <c r="B1354" s="1" t="n">
        <v>43451</v>
      </c>
      <c r="C1354" s="1" t="n">
        <v>45227</v>
      </c>
      <c r="D1354" t="inlineStr">
        <is>
          <t>VÄSTRA GÖTALANDS LÄN</t>
        </is>
      </c>
      <c r="E1354" t="inlineStr">
        <is>
          <t>ÅMÅL</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70585-2018</t>
        </is>
      </c>
      <c r="B1355" s="1" t="n">
        <v>43451</v>
      </c>
      <c r="C1355" s="1" t="n">
        <v>45227</v>
      </c>
      <c r="D1355" t="inlineStr">
        <is>
          <t>VÄSTRA GÖTALANDS LÄN</t>
        </is>
      </c>
      <c r="E1355" t="inlineStr">
        <is>
          <t>SVENLJUNGA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70667-2018</t>
        </is>
      </c>
      <c r="B1356" s="1" t="n">
        <v>43451</v>
      </c>
      <c r="C1356" s="1" t="n">
        <v>45227</v>
      </c>
      <c r="D1356" t="inlineStr">
        <is>
          <t>VÄSTRA GÖTALANDS LÄN</t>
        </is>
      </c>
      <c r="E1356" t="inlineStr">
        <is>
          <t>FÄRGELANDA</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70741-2018</t>
        </is>
      </c>
      <c r="B1357" s="1" t="n">
        <v>43451</v>
      </c>
      <c r="C1357" s="1" t="n">
        <v>45227</v>
      </c>
      <c r="D1357" t="inlineStr">
        <is>
          <t>VÄSTRA GÖTALANDS LÄN</t>
        </is>
      </c>
      <c r="E1357" t="inlineStr">
        <is>
          <t>UDDEVALLA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70754-2018</t>
        </is>
      </c>
      <c r="B1358" s="1" t="n">
        <v>43451</v>
      </c>
      <c r="C1358" s="1" t="n">
        <v>45227</v>
      </c>
      <c r="D1358" t="inlineStr">
        <is>
          <t>VÄSTRA GÖTALANDS LÄN</t>
        </is>
      </c>
      <c r="E1358" t="inlineStr">
        <is>
          <t>FÄRGELANDA</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70759-2018</t>
        </is>
      </c>
      <c r="B1359" s="1" t="n">
        <v>43451</v>
      </c>
      <c r="C1359" s="1" t="n">
        <v>45227</v>
      </c>
      <c r="D1359" t="inlineStr">
        <is>
          <t>VÄSTRA GÖTALANDS LÄN</t>
        </is>
      </c>
      <c r="E1359" t="inlineStr">
        <is>
          <t>DALS-ED</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70750-2018</t>
        </is>
      </c>
      <c r="B1360" s="1" t="n">
        <v>43451</v>
      </c>
      <c r="C1360" s="1" t="n">
        <v>45227</v>
      </c>
      <c r="D1360" t="inlineStr">
        <is>
          <t>VÄSTRA GÖTALANDS LÄN</t>
        </is>
      </c>
      <c r="E1360" t="inlineStr">
        <is>
          <t>FÄRGELANDA</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70756-2018</t>
        </is>
      </c>
      <c r="B1361" s="1" t="n">
        <v>43451</v>
      </c>
      <c r="C1361" s="1" t="n">
        <v>45227</v>
      </c>
      <c r="D1361" t="inlineStr">
        <is>
          <t>VÄSTRA GÖTALANDS LÄN</t>
        </is>
      </c>
      <c r="E1361" t="inlineStr">
        <is>
          <t>FÄRGELANDA</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70771-2018</t>
        </is>
      </c>
      <c r="B1362" s="1" t="n">
        <v>43451</v>
      </c>
      <c r="C1362" s="1" t="n">
        <v>45227</v>
      </c>
      <c r="D1362" t="inlineStr">
        <is>
          <t>VÄSTRA GÖTALANDS LÄN</t>
        </is>
      </c>
      <c r="E1362" t="inlineStr">
        <is>
          <t>FALKÖPING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71014-2018</t>
        </is>
      </c>
      <c r="B1363" s="1" t="n">
        <v>43451</v>
      </c>
      <c r="C1363" s="1" t="n">
        <v>45227</v>
      </c>
      <c r="D1363" t="inlineStr">
        <is>
          <t>VÄSTRA GÖTALANDS LÄN</t>
        </is>
      </c>
      <c r="E1363" t="inlineStr">
        <is>
          <t>TRANEMO</t>
        </is>
      </c>
      <c r="G1363" t="n">
        <v>3.9</v>
      </c>
      <c r="H1363" t="n">
        <v>0</v>
      </c>
      <c r="I1363" t="n">
        <v>0</v>
      </c>
      <c r="J1363" t="n">
        <v>0</v>
      </c>
      <c r="K1363" t="n">
        <v>0</v>
      </c>
      <c r="L1363" t="n">
        <v>0</v>
      </c>
      <c r="M1363" t="n">
        <v>0</v>
      </c>
      <c r="N1363" t="n">
        <v>0</v>
      </c>
      <c r="O1363" t="n">
        <v>0</v>
      </c>
      <c r="P1363" t="n">
        <v>0</v>
      </c>
      <c r="Q1363" t="n">
        <v>0</v>
      </c>
      <c r="R1363" s="2" t="inlineStr"/>
    </row>
    <row r="1364" ht="15" customHeight="1">
      <c r="A1364" t="inlineStr">
        <is>
          <t>A 70524-2018</t>
        </is>
      </c>
      <c r="B1364" s="1" t="n">
        <v>43451</v>
      </c>
      <c r="C1364" s="1" t="n">
        <v>45227</v>
      </c>
      <c r="D1364" t="inlineStr">
        <is>
          <t>VÄSTRA GÖTALANDS LÄN</t>
        </is>
      </c>
      <c r="E1364" t="inlineStr">
        <is>
          <t>TÖREBODA</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70902-2018</t>
        </is>
      </c>
      <c r="B1365" s="1" t="n">
        <v>43452</v>
      </c>
      <c r="C1365" s="1" t="n">
        <v>45227</v>
      </c>
      <c r="D1365" t="inlineStr">
        <is>
          <t>VÄSTRA GÖTALANDS LÄN</t>
        </is>
      </c>
      <c r="E1365" t="inlineStr">
        <is>
          <t>FÄRGELANDA</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71090-2018</t>
        </is>
      </c>
      <c r="B1366" s="1" t="n">
        <v>43452</v>
      </c>
      <c r="C1366" s="1" t="n">
        <v>45227</v>
      </c>
      <c r="D1366" t="inlineStr">
        <is>
          <t>VÄSTRA GÖTALANDS LÄN</t>
        </is>
      </c>
      <c r="E1366" t="inlineStr">
        <is>
          <t>FALKÖPING</t>
        </is>
      </c>
      <c r="G1366" t="n">
        <v>5.2</v>
      </c>
      <c r="H1366" t="n">
        <v>0</v>
      </c>
      <c r="I1366" t="n">
        <v>0</v>
      </c>
      <c r="J1366" t="n">
        <v>0</v>
      </c>
      <c r="K1366" t="n">
        <v>0</v>
      </c>
      <c r="L1366" t="n">
        <v>0</v>
      </c>
      <c r="M1366" t="n">
        <v>0</v>
      </c>
      <c r="N1366" t="n">
        <v>0</v>
      </c>
      <c r="O1366" t="n">
        <v>0</v>
      </c>
      <c r="P1366" t="n">
        <v>0</v>
      </c>
      <c r="Q1366" t="n">
        <v>0</v>
      </c>
      <c r="R1366" s="2" t="inlineStr"/>
    </row>
    <row r="1367" ht="15" customHeight="1">
      <c r="A1367" t="inlineStr">
        <is>
          <t>A 70857-2018</t>
        </is>
      </c>
      <c r="B1367" s="1" t="n">
        <v>43452</v>
      </c>
      <c r="C1367" s="1" t="n">
        <v>45227</v>
      </c>
      <c r="D1367" t="inlineStr">
        <is>
          <t>VÄSTRA GÖTALANDS LÄN</t>
        </is>
      </c>
      <c r="E1367" t="inlineStr">
        <is>
          <t>GULLSPÅNG</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71104-2018</t>
        </is>
      </c>
      <c r="B1368" s="1" t="n">
        <v>43452</v>
      </c>
      <c r="C1368" s="1" t="n">
        <v>45227</v>
      </c>
      <c r="D1368" t="inlineStr">
        <is>
          <t>VÄSTRA GÖTALANDS LÄN</t>
        </is>
      </c>
      <c r="E1368" t="inlineStr">
        <is>
          <t>UDDEVALLA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71561-2018</t>
        </is>
      </c>
      <c r="B1369" s="1" t="n">
        <v>43452</v>
      </c>
      <c r="C1369" s="1" t="n">
        <v>45227</v>
      </c>
      <c r="D1369" t="inlineStr">
        <is>
          <t>VÄSTRA GÖTALANDS LÄN</t>
        </is>
      </c>
      <c r="E1369" t="inlineStr">
        <is>
          <t>UDDEVALLA</t>
        </is>
      </c>
      <c r="G1369" t="n">
        <v>3.3</v>
      </c>
      <c r="H1369" t="n">
        <v>0</v>
      </c>
      <c r="I1369" t="n">
        <v>0</v>
      </c>
      <c r="J1369" t="n">
        <v>0</v>
      </c>
      <c r="K1369" t="n">
        <v>0</v>
      </c>
      <c r="L1369" t="n">
        <v>0</v>
      </c>
      <c r="M1369" t="n">
        <v>0</v>
      </c>
      <c r="N1369" t="n">
        <v>0</v>
      </c>
      <c r="O1369" t="n">
        <v>0</v>
      </c>
      <c r="P1369" t="n">
        <v>0</v>
      </c>
      <c r="Q1369" t="n">
        <v>0</v>
      </c>
      <c r="R1369" s="2" t="inlineStr"/>
    </row>
    <row r="1370" ht="15" customHeight="1">
      <c r="A1370" t="inlineStr">
        <is>
          <t>A 71672-2018</t>
        </is>
      </c>
      <c r="B1370" s="1" t="n">
        <v>43452</v>
      </c>
      <c r="C1370" s="1" t="n">
        <v>45227</v>
      </c>
      <c r="D1370" t="inlineStr">
        <is>
          <t>VÄSTRA GÖTALANDS LÄN</t>
        </is>
      </c>
      <c r="E1370" t="inlineStr">
        <is>
          <t>ÅMÅL</t>
        </is>
      </c>
      <c r="G1370" t="n">
        <v>3.3</v>
      </c>
      <c r="H1370" t="n">
        <v>0</v>
      </c>
      <c r="I1370" t="n">
        <v>0</v>
      </c>
      <c r="J1370" t="n">
        <v>0</v>
      </c>
      <c r="K1370" t="n">
        <v>0</v>
      </c>
      <c r="L1370" t="n">
        <v>0</v>
      </c>
      <c r="M1370" t="n">
        <v>0</v>
      </c>
      <c r="N1370" t="n">
        <v>0</v>
      </c>
      <c r="O1370" t="n">
        <v>0</v>
      </c>
      <c r="P1370" t="n">
        <v>0</v>
      </c>
      <c r="Q1370" t="n">
        <v>0</v>
      </c>
      <c r="R1370" s="2" t="inlineStr"/>
    </row>
    <row r="1371" ht="15" customHeight="1">
      <c r="A1371" t="inlineStr">
        <is>
          <t>A 70860-2018</t>
        </is>
      </c>
      <c r="B1371" s="1" t="n">
        <v>43452</v>
      </c>
      <c r="C1371" s="1" t="n">
        <v>45227</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71005-2018</t>
        </is>
      </c>
      <c r="B1372" s="1" t="n">
        <v>43452</v>
      </c>
      <c r="C1372" s="1" t="n">
        <v>45227</v>
      </c>
      <c r="D1372" t="inlineStr">
        <is>
          <t>VÄSTRA GÖTALANDS LÄN</t>
        </is>
      </c>
      <c r="E1372" t="inlineStr">
        <is>
          <t>SKÖVDE</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71047-2018</t>
        </is>
      </c>
      <c r="B1373" s="1" t="n">
        <v>43452</v>
      </c>
      <c r="C1373" s="1" t="n">
        <v>45227</v>
      </c>
      <c r="D1373" t="inlineStr">
        <is>
          <t>VÄSTRA GÖTALANDS LÄN</t>
        </is>
      </c>
      <c r="E1373" t="inlineStr">
        <is>
          <t>FALKÖPING</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71065-2018</t>
        </is>
      </c>
      <c r="B1374" s="1" t="n">
        <v>43452</v>
      </c>
      <c r="C1374" s="1" t="n">
        <v>45227</v>
      </c>
      <c r="D1374" t="inlineStr">
        <is>
          <t>VÄSTRA GÖTALANDS LÄN</t>
        </is>
      </c>
      <c r="E1374" t="inlineStr">
        <is>
          <t>FALKÖPING</t>
        </is>
      </c>
      <c r="G1374" t="n">
        <v>1.3</v>
      </c>
      <c r="H1374" t="n">
        <v>0</v>
      </c>
      <c r="I1374" t="n">
        <v>0</v>
      </c>
      <c r="J1374" t="n">
        <v>0</v>
      </c>
      <c r="K1374" t="n">
        <v>0</v>
      </c>
      <c r="L1374" t="n">
        <v>0</v>
      </c>
      <c r="M1374" t="n">
        <v>0</v>
      </c>
      <c r="N1374" t="n">
        <v>0</v>
      </c>
      <c r="O1374" t="n">
        <v>0</v>
      </c>
      <c r="P1374" t="n">
        <v>0</v>
      </c>
      <c r="Q1374" t="n">
        <v>0</v>
      </c>
      <c r="R1374" s="2" t="inlineStr"/>
    </row>
    <row r="1375" ht="15" customHeight="1">
      <c r="A1375" t="inlineStr">
        <is>
          <t>A 70943-2018</t>
        </is>
      </c>
      <c r="B1375" s="1" t="n">
        <v>43452</v>
      </c>
      <c r="C1375" s="1" t="n">
        <v>45227</v>
      </c>
      <c r="D1375" t="inlineStr">
        <is>
          <t>VÄSTRA GÖTALANDS LÄN</t>
        </is>
      </c>
      <c r="E1375" t="inlineStr">
        <is>
          <t>TÖREBODA</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71072-2018</t>
        </is>
      </c>
      <c r="B1376" s="1" t="n">
        <v>43452</v>
      </c>
      <c r="C1376" s="1" t="n">
        <v>45227</v>
      </c>
      <c r="D1376" t="inlineStr">
        <is>
          <t>VÄSTRA GÖTALANDS LÄN</t>
        </is>
      </c>
      <c r="E1376" t="inlineStr">
        <is>
          <t>TIDAHOLM</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71140-2018</t>
        </is>
      </c>
      <c r="B1377" s="1" t="n">
        <v>43452</v>
      </c>
      <c r="C1377" s="1" t="n">
        <v>45227</v>
      </c>
      <c r="D1377" t="inlineStr">
        <is>
          <t>VÄSTRA GÖTALANDS LÄN</t>
        </is>
      </c>
      <c r="E1377" t="inlineStr">
        <is>
          <t>TROLLHÄTTAN</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71668-2018</t>
        </is>
      </c>
      <c r="B1378" s="1" t="n">
        <v>43452</v>
      </c>
      <c r="C1378" s="1" t="n">
        <v>45227</v>
      </c>
      <c r="D1378" t="inlineStr">
        <is>
          <t>VÄSTRA GÖTALANDS LÄN</t>
        </is>
      </c>
      <c r="E1378" t="inlineStr">
        <is>
          <t>HJO</t>
        </is>
      </c>
      <c r="G1378" t="n">
        <v>1.8</v>
      </c>
      <c r="H1378" t="n">
        <v>0</v>
      </c>
      <c r="I1378" t="n">
        <v>0</v>
      </c>
      <c r="J1378" t="n">
        <v>0</v>
      </c>
      <c r="K1378" t="n">
        <v>0</v>
      </c>
      <c r="L1378" t="n">
        <v>0</v>
      </c>
      <c r="M1378" t="n">
        <v>0</v>
      </c>
      <c r="N1378" t="n">
        <v>0</v>
      </c>
      <c r="O1378" t="n">
        <v>0</v>
      </c>
      <c r="P1378" t="n">
        <v>0</v>
      </c>
      <c r="Q1378" t="n">
        <v>0</v>
      </c>
      <c r="R1378" s="2" t="inlineStr"/>
    </row>
    <row r="1379" ht="15" customHeight="1">
      <c r="A1379" t="inlineStr">
        <is>
          <t>A 71293-2018</t>
        </is>
      </c>
      <c r="B1379" s="1" t="n">
        <v>43453</v>
      </c>
      <c r="C1379" s="1" t="n">
        <v>45227</v>
      </c>
      <c r="D1379" t="inlineStr">
        <is>
          <t>VÄSTRA GÖTALANDS LÄN</t>
        </is>
      </c>
      <c r="E1379" t="inlineStr">
        <is>
          <t>LERUM</t>
        </is>
      </c>
      <c r="G1379" t="n">
        <v>4.3</v>
      </c>
      <c r="H1379" t="n">
        <v>0</v>
      </c>
      <c r="I1379" t="n">
        <v>0</v>
      </c>
      <c r="J1379" t="n">
        <v>0</v>
      </c>
      <c r="K1379" t="n">
        <v>0</v>
      </c>
      <c r="L1379" t="n">
        <v>0</v>
      </c>
      <c r="M1379" t="n">
        <v>0</v>
      </c>
      <c r="N1379" t="n">
        <v>0</v>
      </c>
      <c r="O1379" t="n">
        <v>0</v>
      </c>
      <c r="P1379" t="n">
        <v>0</v>
      </c>
      <c r="Q1379" t="n">
        <v>0</v>
      </c>
      <c r="R1379" s="2" t="inlineStr"/>
    </row>
    <row r="1380" ht="15" customHeight="1">
      <c r="A1380" t="inlineStr">
        <is>
          <t>A 71303-2018</t>
        </is>
      </c>
      <c r="B1380" s="1" t="n">
        <v>43453</v>
      </c>
      <c r="C1380" s="1" t="n">
        <v>45227</v>
      </c>
      <c r="D1380" t="inlineStr">
        <is>
          <t>VÄSTRA GÖTALANDS LÄN</t>
        </is>
      </c>
      <c r="E1380" t="inlineStr">
        <is>
          <t>LERUM</t>
        </is>
      </c>
      <c r="G1380" t="n">
        <v>6.1</v>
      </c>
      <c r="H1380" t="n">
        <v>0</v>
      </c>
      <c r="I1380" t="n">
        <v>0</v>
      </c>
      <c r="J1380" t="n">
        <v>0</v>
      </c>
      <c r="K1380" t="n">
        <v>0</v>
      </c>
      <c r="L1380" t="n">
        <v>0</v>
      </c>
      <c r="M1380" t="n">
        <v>0</v>
      </c>
      <c r="N1380" t="n">
        <v>0</v>
      </c>
      <c r="O1380" t="n">
        <v>0</v>
      </c>
      <c r="P1380" t="n">
        <v>0</v>
      </c>
      <c r="Q1380" t="n">
        <v>0</v>
      </c>
      <c r="R1380" s="2" t="inlineStr"/>
    </row>
    <row r="1381" ht="15" customHeight="1">
      <c r="A1381" t="inlineStr">
        <is>
          <t>A 72049-2018</t>
        </is>
      </c>
      <c r="B1381" s="1" t="n">
        <v>43453</v>
      </c>
      <c r="C1381" s="1" t="n">
        <v>45227</v>
      </c>
      <c r="D1381" t="inlineStr">
        <is>
          <t>VÄSTRA GÖTALANDS LÄN</t>
        </is>
      </c>
      <c r="E1381" t="inlineStr">
        <is>
          <t>GULLSPÅNG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72434-2018</t>
        </is>
      </c>
      <c r="B1382" s="1" t="n">
        <v>43453</v>
      </c>
      <c r="C1382" s="1" t="n">
        <v>45227</v>
      </c>
      <c r="D1382" t="inlineStr">
        <is>
          <t>VÄSTRA GÖTALANDS LÄN</t>
        </is>
      </c>
      <c r="E1382" t="inlineStr">
        <is>
          <t>DALS-ED</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71244-2018</t>
        </is>
      </c>
      <c r="B1383" s="1" t="n">
        <v>43453</v>
      </c>
      <c r="C1383" s="1" t="n">
        <v>45227</v>
      </c>
      <c r="D1383" t="inlineStr">
        <is>
          <t>VÄSTRA GÖTALANDS LÄN</t>
        </is>
      </c>
      <c r="E1383" t="inlineStr">
        <is>
          <t>BENGTSFORS</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71261-2018</t>
        </is>
      </c>
      <c r="B1384" s="1" t="n">
        <v>43453</v>
      </c>
      <c r="C1384" s="1" t="n">
        <v>45227</v>
      </c>
      <c r="D1384" t="inlineStr">
        <is>
          <t>VÄSTRA GÖTALANDS LÄN</t>
        </is>
      </c>
      <c r="E1384" t="inlineStr">
        <is>
          <t>BENGTSFORS</t>
        </is>
      </c>
      <c r="G1384" t="n">
        <v>5.8</v>
      </c>
      <c r="H1384" t="n">
        <v>0</v>
      </c>
      <c r="I1384" t="n">
        <v>0</v>
      </c>
      <c r="J1384" t="n">
        <v>0</v>
      </c>
      <c r="K1384" t="n">
        <v>0</v>
      </c>
      <c r="L1384" t="n">
        <v>0</v>
      </c>
      <c r="M1384" t="n">
        <v>0</v>
      </c>
      <c r="N1384" t="n">
        <v>0</v>
      </c>
      <c r="O1384" t="n">
        <v>0</v>
      </c>
      <c r="P1384" t="n">
        <v>0</v>
      </c>
      <c r="Q1384" t="n">
        <v>0</v>
      </c>
      <c r="R1384" s="2" t="inlineStr"/>
    </row>
    <row r="1385" ht="15" customHeight="1">
      <c r="A1385" t="inlineStr">
        <is>
          <t>A 71294-2018</t>
        </is>
      </c>
      <c r="B1385" s="1" t="n">
        <v>43453</v>
      </c>
      <c r="C1385" s="1" t="n">
        <v>45227</v>
      </c>
      <c r="D1385" t="inlineStr">
        <is>
          <t>VÄSTRA GÖTALANDS LÄN</t>
        </is>
      </c>
      <c r="E1385" t="inlineStr">
        <is>
          <t>MARK</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71309-2018</t>
        </is>
      </c>
      <c r="B1386" s="1" t="n">
        <v>43453</v>
      </c>
      <c r="C1386" s="1" t="n">
        <v>45227</v>
      </c>
      <c r="D1386" t="inlineStr">
        <is>
          <t>VÄSTRA GÖTALANDS LÄN</t>
        </is>
      </c>
      <c r="E1386" t="inlineStr">
        <is>
          <t>BOLLEBYGD</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71402-2018</t>
        </is>
      </c>
      <c r="B1387" s="1" t="n">
        <v>43453</v>
      </c>
      <c r="C1387" s="1" t="n">
        <v>45227</v>
      </c>
      <c r="D1387" t="inlineStr">
        <is>
          <t>VÄSTRA GÖTALANDS LÄN</t>
        </is>
      </c>
      <c r="E1387" t="inlineStr">
        <is>
          <t>BORÅS</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71412-2018</t>
        </is>
      </c>
      <c r="B1388" s="1" t="n">
        <v>43453</v>
      </c>
      <c r="C1388" s="1" t="n">
        <v>45227</v>
      </c>
      <c r="D1388" t="inlineStr">
        <is>
          <t>VÄSTRA GÖTALANDS LÄN</t>
        </is>
      </c>
      <c r="E1388" t="inlineStr">
        <is>
          <t>SKARA</t>
        </is>
      </c>
      <c r="F1388" t="inlineStr">
        <is>
          <t>Kommuner</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71513-2018</t>
        </is>
      </c>
      <c r="B1389" s="1" t="n">
        <v>43453</v>
      </c>
      <c r="C1389" s="1" t="n">
        <v>45227</v>
      </c>
      <c r="D1389" t="inlineStr">
        <is>
          <t>VÄSTRA GÖTALANDS LÄN</t>
        </is>
      </c>
      <c r="E1389" t="inlineStr">
        <is>
          <t>FALKÖPING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71929-2018</t>
        </is>
      </c>
      <c r="B1390" s="1" t="n">
        <v>43453</v>
      </c>
      <c r="C1390" s="1" t="n">
        <v>45227</v>
      </c>
      <c r="D1390" t="inlineStr">
        <is>
          <t>VÄSTRA GÖTALANDS LÄN</t>
        </is>
      </c>
      <c r="E1390" t="inlineStr">
        <is>
          <t>TRANEMO</t>
        </is>
      </c>
      <c r="G1390" t="n">
        <v>9.6</v>
      </c>
      <c r="H1390" t="n">
        <v>0</v>
      </c>
      <c r="I1390" t="n">
        <v>0</v>
      </c>
      <c r="J1390" t="n">
        <v>0</v>
      </c>
      <c r="K1390" t="n">
        <v>0</v>
      </c>
      <c r="L1390" t="n">
        <v>0</v>
      </c>
      <c r="M1390" t="n">
        <v>0</v>
      </c>
      <c r="N1390" t="n">
        <v>0</v>
      </c>
      <c r="O1390" t="n">
        <v>0</v>
      </c>
      <c r="P1390" t="n">
        <v>0</v>
      </c>
      <c r="Q1390" t="n">
        <v>0</v>
      </c>
      <c r="R1390" s="2" t="inlineStr"/>
    </row>
    <row r="1391" ht="15" customHeight="1">
      <c r="A1391" t="inlineStr">
        <is>
          <t>A 71408-2018</t>
        </is>
      </c>
      <c r="B1391" s="1" t="n">
        <v>43453</v>
      </c>
      <c r="C1391" s="1" t="n">
        <v>45227</v>
      </c>
      <c r="D1391" t="inlineStr">
        <is>
          <t>VÄSTRA GÖTALANDS LÄN</t>
        </is>
      </c>
      <c r="E1391" t="inlineStr">
        <is>
          <t>TIDAHOLM</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72427-2018</t>
        </is>
      </c>
      <c r="B1392" s="1" t="n">
        <v>43453</v>
      </c>
      <c r="C1392" s="1" t="n">
        <v>45227</v>
      </c>
      <c r="D1392" t="inlineStr">
        <is>
          <t>VÄSTRA GÖTALANDS LÄN</t>
        </is>
      </c>
      <c r="E1392" t="inlineStr">
        <is>
          <t>DALS-ED</t>
        </is>
      </c>
      <c r="G1392" t="n">
        <v>6.3</v>
      </c>
      <c r="H1392" t="n">
        <v>0</v>
      </c>
      <c r="I1392" t="n">
        <v>0</v>
      </c>
      <c r="J1392" t="n">
        <v>0</v>
      </c>
      <c r="K1392" t="n">
        <v>0</v>
      </c>
      <c r="L1392" t="n">
        <v>0</v>
      </c>
      <c r="M1392" t="n">
        <v>0</v>
      </c>
      <c r="N1392" t="n">
        <v>0</v>
      </c>
      <c r="O1392" t="n">
        <v>0</v>
      </c>
      <c r="P1392" t="n">
        <v>0</v>
      </c>
      <c r="Q1392" t="n">
        <v>0</v>
      </c>
      <c r="R1392" s="2" t="inlineStr"/>
    </row>
    <row r="1393" ht="15" customHeight="1">
      <c r="A1393" t="inlineStr">
        <is>
          <t>A 71175-2018</t>
        </is>
      </c>
      <c r="B1393" s="1" t="n">
        <v>43453</v>
      </c>
      <c r="C1393" s="1" t="n">
        <v>45227</v>
      </c>
      <c r="D1393" t="inlineStr">
        <is>
          <t>VÄSTRA GÖTALANDS LÄN</t>
        </is>
      </c>
      <c r="E1393" t="inlineStr">
        <is>
          <t>MELLERUD</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71499-2018</t>
        </is>
      </c>
      <c r="B1394" s="1" t="n">
        <v>43453</v>
      </c>
      <c r="C1394" s="1" t="n">
        <v>45227</v>
      </c>
      <c r="D1394" t="inlineStr">
        <is>
          <t>VÄSTRA GÖTALANDS LÄN</t>
        </is>
      </c>
      <c r="E1394" t="inlineStr">
        <is>
          <t>ALINGSÅS</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71515-2018</t>
        </is>
      </c>
      <c r="B1395" s="1" t="n">
        <v>43453</v>
      </c>
      <c r="C1395" s="1" t="n">
        <v>45227</v>
      </c>
      <c r="D1395" t="inlineStr">
        <is>
          <t>VÄSTRA GÖTALANDS LÄN</t>
        </is>
      </c>
      <c r="E1395" t="inlineStr">
        <is>
          <t>FALKÖPING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71799-2018</t>
        </is>
      </c>
      <c r="B1396" s="1" t="n">
        <v>43453</v>
      </c>
      <c r="C1396" s="1" t="n">
        <v>45227</v>
      </c>
      <c r="D1396" t="inlineStr">
        <is>
          <t>VÄSTRA GÖTALANDS LÄN</t>
        </is>
      </c>
      <c r="E1396" t="inlineStr">
        <is>
          <t>SKÖVDE</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72421-2018</t>
        </is>
      </c>
      <c r="B1397" s="1" t="n">
        <v>43453</v>
      </c>
      <c r="C1397" s="1" t="n">
        <v>45227</v>
      </c>
      <c r="D1397" t="inlineStr">
        <is>
          <t>VÄSTRA GÖTALANDS LÄN</t>
        </is>
      </c>
      <c r="E1397" t="inlineStr">
        <is>
          <t>DALS-ED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71614-2018</t>
        </is>
      </c>
      <c r="B1398" s="1" t="n">
        <v>43454</v>
      </c>
      <c r="C1398" s="1" t="n">
        <v>45227</v>
      </c>
      <c r="D1398" t="inlineStr">
        <is>
          <t>VÄSTRA GÖTALANDS LÄN</t>
        </is>
      </c>
      <c r="E1398" t="inlineStr">
        <is>
          <t>ÅMÅL</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71648-2018</t>
        </is>
      </c>
      <c r="B1399" s="1" t="n">
        <v>43454</v>
      </c>
      <c r="C1399" s="1" t="n">
        <v>45227</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71670-2018</t>
        </is>
      </c>
      <c r="B1400" s="1" t="n">
        <v>43454</v>
      </c>
      <c r="C1400" s="1" t="n">
        <v>45227</v>
      </c>
      <c r="D1400" t="inlineStr">
        <is>
          <t>VÄSTRA GÖTALANDS LÄN</t>
        </is>
      </c>
      <c r="E1400" t="inlineStr">
        <is>
          <t>SKARA</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71599-2018</t>
        </is>
      </c>
      <c r="B1401" s="1" t="n">
        <v>43454</v>
      </c>
      <c r="C1401" s="1" t="n">
        <v>45227</v>
      </c>
      <c r="D1401" t="inlineStr">
        <is>
          <t>VÄSTRA GÖTALANDS LÄN</t>
        </is>
      </c>
      <c r="E1401" t="inlineStr">
        <is>
          <t>ÅMÅL</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71649-2018</t>
        </is>
      </c>
      <c r="B1402" s="1" t="n">
        <v>43454</v>
      </c>
      <c r="C1402" s="1" t="n">
        <v>45227</v>
      </c>
      <c r="D1402" t="inlineStr">
        <is>
          <t>VÄSTRA GÖTALANDS LÄN</t>
        </is>
      </c>
      <c r="E1402" t="inlineStr">
        <is>
          <t>SVENLJUNGA</t>
        </is>
      </c>
      <c r="F1402" t="inlineStr">
        <is>
          <t>Kommuner</t>
        </is>
      </c>
      <c r="G1402" t="n">
        <v>0.9</v>
      </c>
      <c r="H1402" t="n">
        <v>0</v>
      </c>
      <c r="I1402" t="n">
        <v>0</v>
      </c>
      <c r="J1402" t="n">
        <v>0</v>
      </c>
      <c r="K1402" t="n">
        <v>0</v>
      </c>
      <c r="L1402" t="n">
        <v>0</v>
      </c>
      <c r="M1402" t="n">
        <v>0</v>
      </c>
      <c r="N1402" t="n">
        <v>0</v>
      </c>
      <c r="O1402" t="n">
        <v>0</v>
      </c>
      <c r="P1402" t="n">
        <v>0</v>
      </c>
      <c r="Q1402" t="n">
        <v>0</v>
      </c>
      <c r="R1402" s="2" t="inlineStr"/>
    </row>
    <row r="1403" ht="15" customHeight="1">
      <c r="A1403" t="inlineStr">
        <is>
          <t>A 71671-2018</t>
        </is>
      </c>
      <c r="B1403" s="1" t="n">
        <v>43454</v>
      </c>
      <c r="C1403" s="1" t="n">
        <v>45227</v>
      </c>
      <c r="D1403" t="inlineStr">
        <is>
          <t>VÄSTRA GÖTALANDS LÄN</t>
        </is>
      </c>
      <c r="E1403" t="inlineStr">
        <is>
          <t>SVENLJUNGA</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71825-2018</t>
        </is>
      </c>
      <c r="B1404" s="1" t="n">
        <v>43454</v>
      </c>
      <c r="C1404" s="1" t="n">
        <v>45227</v>
      </c>
      <c r="D1404" t="inlineStr">
        <is>
          <t>VÄSTRA GÖTALANDS LÄN</t>
        </is>
      </c>
      <c r="E1404" t="inlineStr">
        <is>
          <t>SVENLJUNGA</t>
        </is>
      </c>
      <c r="G1404" t="n">
        <v>11.2</v>
      </c>
      <c r="H1404" t="n">
        <v>0</v>
      </c>
      <c r="I1404" t="n">
        <v>0</v>
      </c>
      <c r="J1404" t="n">
        <v>0</v>
      </c>
      <c r="K1404" t="n">
        <v>0</v>
      </c>
      <c r="L1404" t="n">
        <v>0</v>
      </c>
      <c r="M1404" t="n">
        <v>0</v>
      </c>
      <c r="N1404" t="n">
        <v>0</v>
      </c>
      <c r="O1404" t="n">
        <v>0</v>
      </c>
      <c r="P1404" t="n">
        <v>0</v>
      </c>
      <c r="Q1404" t="n">
        <v>0</v>
      </c>
      <c r="R1404" s="2" t="inlineStr"/>
    </row>
    <row r="1405" ht="15" customHeight="1">
      <c r="A1405" t="inlineStr">
        <is>
          <t>A 71582-2018</t>
        </is>
      </c>
      <c r="B1405" s="1" t="n">
        <v>43454</v>
      </c>
      <c r="C1405" s="1" t="n">
        <v>45227</v>
      </c>
      <c r="D1405" t="inlineStr">
        <is>
          <t>VÄSTRA GÖTALANDS LÄN</t>
        </is>
      </c>
      <c r="E1405" t="inlineStr">
        <is>
          <t>HERRLJUNGA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71751-2018</t>
        </is>
      </c>
      <c r="B1406" s="1" t="n">
        <v>43454</v>
      </c>
      <c r="C1406" s="1" t="n">
        <v>45227</v>
      </c>
      <c r="D1406" t="inlineStr">
        <is>
          <t>VÄSTRA GÖTALANDS LÄN</t>
        </is>
      </c>
      <c r="E1406" t="inlineStr">
        <is>
          <t>VÅRGÅRDA</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71653-2018</t>
        </is>
      </c>
      <c r="B1407" s="1" t="n">
        <v>43454</v>
      </c>
      <c r="C1407" s="1" t="n">
        <v>45227</v>
      </c>
      <c r="D1407" t="inlineStr">
        <is>
          <t>VÄSTRA GÖTALANDS LÄN</t>
        </is>
      </c>
      <c r="E1407" t="inlineStr">
        <is>
          <t>SVENLJUNGA</t>
        </is>
      </c>
      <c r="F1407" t="inlineStr">
        <is>
          <t>Kommuner</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71664-2018</t>
        </is>
      </c>
      <c r="B1408" s="1" t="n">
        <v>43454</v>
      </c>
      <c r="C1408" s="1" t="n">
        <v>45227</v>
      </c>
      <c r="D1408" t="inlineStr">
        <is>
          <t>VÄSTRA GÖTALANDS LÄN</t>
        </is>
      </c>
      <c r="E1408" t="inlineStr">
        <is>
          <t>TANUM</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71673-2018</t>
        </is>
      </c>
      <c r="B1409" s="1" t="n">
        <v>43454</v>
      </c>
      <c r="C1409" s="1" t="n">
        <v>45227</v>
      </c>
      <c r="D1409" t="inlineStr">
        <is>
          <t>VÄSTRA GÖTALANDS LÄN</t>
        </is>
      </c>
      <c r="E1409" t="inlineStr">
        <is>
          <t>SVENLJUNGA</t>
        </is>
      </c>
      <c r="G1409" t="n">
        <v>0.8</v>
      </c>
      <c r="H1409" t="n">
        <v>0</v>
      </c>
      <c r="I1409" t="n">
        <v>0</v>
      </c>
      <c r="J1409" t="n">
        <v>0</v>
      </c>
      <c r="K1409" t="n">
        <v>0</v>
      </c>
      <c r="L1409" t="n">
        <v>0</v>
      </c>
      <c r="M1409" t="n">
        <v>0</v>
      </c>
      <c r="N1409" t="n">
        <v>0</v>
      </c>
      <c r="O1409" t="n">
        <v>0</v>
      </c>
      <c r="P1409" t="n">
        <v>0</v>
      </c>
      <c r="Q1409" t="n">
        <v>0</v>
      </c>
      <c r="R1409" s="2" t="inlineStr"/>
    </row>
    <row r="1410" ht="15" customHeight="1">
      <c r="A1410" t="inlineStr">
        <is>
          <t>A 71700-2018</t>
        </is>
      </c>
      <c r="B1410" s="1" t="n">
        <v>43454</v>
      </c>
      <c r="C1410" s="1" t="n">
        <v>45227</v>
      </c>
      <c r="D1410" t="inlineStr">
        <is>
          <t>VÄSTRA GÖTALANDS LÄN</t>
        </is>
      </c>
      <c r="E1410" t="inlineStr">
        <is>
          <t>SKARA</t>
        </is>
      </c>
      <c r="F1410" t="inlineStr">
        <is>
          <t>Kommuner</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71748-2018</t>
        </is>
      </c>
      <c r="B1411" s="1" t="n">
        <v>43454</v>
      </c>
      <c r="C1411" s="1" t="n">
        <v>45227</v>
      </c>
      <c r="D1411" t="inlineStr">
        <is>
          <t>VÄSTRA GÖTALANDS LÄN</t>
        </is>
      </c>
      <c r="E1411" t="inlineStr">
        <is>
          <t>ULRICEHAMN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71826-2018</t>
        </is>
      </c>
      <c r="B1412" s="1" t="n">
        <v>43454</v>
      </c>
      <c r="C1412" s="1" t="n">
        <v>45227</v>
      </c>
      <c r="D1412" t="inlineStr">
        <is>
          <t>VÄSTRA GÖTALANDS LÄN</t>
        </is>
      </c>
      <c r="E1412" t="inlineStr">
        <is>
          <t>SVENLJUNGA</t>
        </is>
      </c>
      <c r="G1412" t="n">
        <v>2.2</v>
      </c>
      <c r="H1412" t="n">
        <v>0</v>
      </c>
      <c r="I1412" t="n">
        <v>0</v>
      </c>
      <c r="J1412" t="n">
        <v>0</v>
      </c>
      <c r="K1412" t="n">
        <v>0</v>
      </c>
      <c r="L1412" t="n">
        <v>0</v>
      </c>
      <c r="M1412" t="n">
        <v>0</v>
      </c>
      <c r="N1412" t="n">
        <v>0</v>
      </c>
      <c r="O1412" t="n">
        <v>0</v>
      </c>
      <c r="P1412" t="n">
        <v>0</v>
      </c>
      <c r="Q1412" t="n">
        <v>0</v>
      </c>
      <c r="R1412" s="2" t="inlineStr"/>
    </row>
    <row r="1413" ht="15" customHeight="1">
      <c r="A1413" t="inlineStr">
        <is>
          <t>A 385-2019</t>
        </is>
      </c>
      <c r="B1413" s="1" t="n">
        <v>43454</v>
      </c>
      <c r="C1413" s="1" t="n">
        <v>45227</v>
      </c>
      <c r="D1413" t="inlineStr">
        <is>
          <t>VÄSTRA GÖTALANDS LÄN</t>
        </is>
      </c>
      <c r="E1413" t="inlineStr">
        <is>
          <t>SKÖVDE</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71918-2018</t>
        </is>
      </c>
      <c r="B1414" s="1" t="n">
        <v>43455</v>
      </c>
      <c r="C1414" s="1" t="n">
        <v>45227</v>
      </c>
      <c r="D1414" t="inlineStr">
        <is>
          <t>VÄSTRA GÖTALANDS LÄN</t>
        </is>
      </c>
      <c r="E1414" t="inlineStr">
        <is>
          <t>SVENLJUNGA</t>
        </is>
      </c>
      <c r="G1414" t="n">
        <v>2.4</v>
      </c>
      <c r="H1414" t="n">
        <v>0</v>
      </c>
      <c r="I1414" t="n">
        <v>0</v>
      </c>
      <c r="J1414" t="n">
        <v>0</v>
      </c>
      <c r="K1414" t="n">
        <v>0</v>
      </c>
      <c r="L1414" t="n">
        <v>0</v>
      </c>
      <c r="M1414" t="n">
        <v>0</v>
      </c>
      <c r="N1414" t="n">
        <v>0</v>
      </c>
      <c r="O1414" t="n">
        <v>0</v>
      </c>
      <c r="P1414" t="n">
        <v>0</v>
      </c>
      <c r="Q1414" t="n">
        <v>0</v>
      </c>
      <c r="R1414" s="2" t="inlineStr"/>
    </row>
    <row r="1415" ht="15" customHeight="1">
      <c r="A1415" t="inlineStr">
        <is>
          <t>A 71993-2018</t>
        </is>
      </c>
      <c r="B1415" s="1" t="n">
        <v>43455</v>
      </c>
      <c r="C1415" s="1" t="n">
        <v>45227</v>
      </c>
      <c r="D1415" t="inlineStr">
        <is>
          <t>VÄSTRA GÖTALANDS LÄN</t>
        </is>
      </c>
      <c r="E1415" t="inlineStr">
        <is>
          <t>SVENLJUNGA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72210-2018</t>
        </is>
      </c>
      <c r="B1416" s="1" t="n">
        <v>43455</v>
      </c>
      <c r="C1416" s="1" t="n">
        <v>45227</v>
      </c>
      <c r="D1416" t="inlineStr">
        <is>
          <t>VÄSTRA GÖTALANDS LÄN</t>
        </is>
      </c>
      <c r="E1416" t="inlineStr">
        <is>
          <t>HÄRRYDA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572-2019</t>
        </is>
      </c>
      <c r="B1417" s="1" t="n">
        <v>43455</v>
      </c>
      <c r="C1417" s="1" t="n">
        <v>45227</v>
      </c>
      <c r="D1417" t="inlineStr">
        <is>
          <t>VÄSTRA GÖTALANDS LÄN</t>
        </is>
      </c>
      <c r="E1417" t="inlineStr">
        <is>
          <t>MUNKEDAL</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71963-2018</t>
        </is>
      </c>
      <c r="B1418" s="1" t="n">
        <v>43455</v>
      </c>
      <c r="C1418" s="1" t="n">
        <v>45227</v>
      </c>
      <c r="D1418" t="inlineStr">
        <is>
          <t>VÄSTRA GÖTALANDS LÄN</t>
        </is>
      </c>
      <c r="E1418" t="inlineStr">
        <is>
          <t>ORUST</t>
        </is>
      </c>
      <c r="G1418" t="n">
        <v>10.7</v>
      </c>
      <c r="H1418" t="n">
        <v>0</v>
      </c>
      <c r="I1418" t="n">
        <v>0</v>
      </c>
      <c r="J1418" t="n">
        <v>0</v>
      </c>
      <c r="K1418" t="n">
        <v>0</v>
      </c>
      <c r="L1418" t="n">
        <v>0</v>
      </c>
      <c r="M1418" t="n">
        <v>0</v>
      </c>
      <c r="N1418" t="n">
        <v>0</v>
      </c>
      <c r="O1418" t="n">
        <v>0</v>
      </c>
      <c r="P1418" t="n">
        <v>0</v>
      </c>
      <c r="Q1418" t="n">
        <v>0</v>
      </c>
      <c r="R1418" s="2" t="inlineStr"/>
    </row>
    <row r="1419" ht="15" customHeight="1">
      <c r="A1419" t="inlineStr">
        <is>
          <t>A 71988-2018</t>
        </is>
      </c>
      <c r="B1419" s="1" t="n">
        <v>43455</v>
      </c>
      <c r="C1419" s="1" t="n">
        <v>45227</v>
      </c>
      <c r="D1419" t="inlineStr">
        <is>
          <t>VÄSTRA GÖTALANDS LÄN</t>
        </is>
      </c>
      <c r="E1419" t="inlineStr">
        <is>
          <t>UDDEVALLA</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72065-2018</t>
        </is>
      </c>
      <c r="B1420" s="1" t="n">
        <v>43455</v>
      </c>
      <c r="C1420" s="1" t="n">
        <v>45227</v>
      </c>
      <c r="D1420" t="inlineStr">
        <is>
          <t>VÄSTRA GÖTALANDS LÄN</t>
        </is>
      </c>
      <c r="E1420" t="inlineStr">
        <is>
          <t>TRANEMO</t>
        </is>
      </c>
      <c r="F1420" t="inlineStr">
        <is>
          <t>Kyrkan</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414-2019</t>
        </is>
      </c>
      <c r="B1421" s="1" t="n">
        <v>43455</v>
      </c>
      <c r="C1421" s="1" t="n">
        <v>45227</v>
      </c>
      <c r="D1421" t="inlineStr">
        <is>
          <t>VÄSTRA GÖTALANDS LÄN</t>
        </is>
      </c>
      <c r="E1421" t="inlineStr">
        <is>
          <t>BENGTSFORS</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71909-2018</t>
        </is>
      </c>
      <c r="B1422" s="1" t="n">
        <v>43455</v>
      </c>
      <c r="C1422" s="1" t="n">
        <v>45227</v>
      </c>
      <c r="D1422" t="inlineStr">
        <is>
          <t>VÄSTRA GÖTALANDS LÄN</t>
        </is>
      </c>
      <c r="E1422" t="inlineStr">
        <is>
          <t>MARK</t>
        </is>
      </c>
      <c r="F1422" t="inlineStr">
        <is>
          <t>Kyrkan</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71970-2018</t>
        </is>
      </c>
      <c r="B1423" s="1" t="n">
        <v>43455</v>
      </c>
      <c r="C1423" s="1" t="n">
        <v>45227</v>
      </c>
      <c r="D1423" t="inlineStr">
        <is>
          <t>VÄSTRA GÖTALANDS LÄN</t>
        </is>
      </c>
      <c r="E1423" t="inlineStr">
        <is>
          <t>SVENLJUNGA</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72044-2018</t>
        </is>
      </c>
      <c r="B1424" s="1" t="n">
        <v>43455</v>
      </c>
      <c r="C1424" s="1" t="n">
        <v>45227</v>
      </c>
      <c r="D1424" t="inlineStr">
        <is>
          <t>VÄSTRA GÖTALANDS LÄN</t>
        </is>
      </c>
      <c r="E1424" t="inlineStr">
        <is>
          <t>MÖLNDAL</t>
        </is>
      </c>
      <c r="F1424" t="inlineStr">
        <is>
          <t>Kommuner</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72211-2018</t>
        </is>
      </c>
      <c r="B1425" s="1" t="n">
        <v>43455</v>
      </c>
      <c r="C1425" s="1" t="n">
        <v>45227</v>
      </c>
      <c r="D1425" t="inlineStr">
        <is>
          <t>VÄSTRA GÖTALANDS LÄN</t>
        </is>
      </c>
      <c r="E1425" t="inlineStr">
        <is>
          <t>HÄRRYDA</t>
        </is>
      </c>
      <c r="F1425" t="inlineStr">
        <is>
          <t>Kommuner</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72093-2018</t>
        </is>
      </c>
      <c r="B1426" s="1" t="n">
        <v>43455</v>
      </c>
      <c r="C1426" s="1" t="n">
        <v>45227</v>
      </c>
      <c r="D1426" t="inlineStr">
        <is>
          <t>VÄSTRA GÖTALANDS LÄN</t>
        </is>
      </c>
      <c r="E1426" t="inlineStr">
        <is>
          <t>MARIESTAD</t>
        </is>
      </c>
      <c r="F1426" t="inlineStr">
        <is>
          <t>Kyrkan</t>
        </is>
      </c>
      <c r="G1426" t="n">
        <v>2.9</v>
      </c>
      <c r="H1426" t="n">
        <v>0</v>
      </c>
      <c r="I1426" t="n">
        <v>0</v>
      </c>
      <c r="J1426" t="n">
        <v>0</v>
      </c>
      <c r="K1426" t="n">
        <v>0</v>
      </c>
      <c r="L1426" t="n">
        <v>0</v>
      </c>
      <c r="M1426" t="n">
        <v>0</v>
      </c>
      <c r="N1426" t="n">
        <v>0</v>
      </c>
      <c r="O1426" t="n">
        <v>0</v>
      </c>
      <c r="P1426" t="n">
        <v>0</v>
      </c>
      <c r="Q1426" t="n">
        <v>0</v>
      </c>
      <c r="R1426" s="2" t="inlineStr"/>
    </row>
    <row r="1427" ht="15" customHeight="1">
      <c r="A1427" t="inlineStr">
        <is>
          <t>A 538-2019</t>
        </is>
      </c>
      <c r="B1427" s="1" t="n">
        <v>43455</v>
      </c>
      <c r="C1427" s="1" t="n">
        <v>45227</v>
      </c>
      <c r="D1427" t="inlineStr">
        <is>
          <t>VÄSTRA GÖTALANDS LÄN</t>
        </is>
      </c>
      <c r="E1427" t="inlineStr">
        <is>
          <t>TANUM</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1648-2019</t>
        </is>
      </c>
      <c r="B1428" s="1" t="n">
        <v>43461</v>
      </c>
      <c r="C1428" s="1" t="n">
        <v>45227</v>
      </c>
      <c r="D1428" t="inlineStr">
        <is>
          <t>VÄSTRA GÖTALANDS LÄN</t>
        </is>
      </c>
      <c r="E1428" t="inlineStr">
        <is>
          <t>STRÖMSTAD</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1660-2019</t>
        </is>
      </c>
      <c r="B1429" s="1" t="n">
        <v>43461</v>
      </c>
      <c r="C1429" s="1" t="n">
        <v>45227</v>
      </c>
      <c r="D1429" t="inlineStr">
        <is>
          <t>VÄSTRA GÖTALANDS LÄN</t>
        </is>
      </c>
      <c r="E1429" t="inlineStr">
        <is>
          <t>TANUM</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1686-2019</t>
        </is>
      </c>
      <c r="B1430" s="1" t="n">
        <v>43461</v>
      </c>
      <c r="C1430" s="1" t="n">
        <v>45227</v>
      </c>
      <c r="D1430" t="inlineStr">
        <is>
          <t>VÄSTRA GÖTALANDS LÄN</t>
        </is>
      </c>
      <c r="E1430" t="inlineStr">
        <is>
          <t>SVENLJUNGA</t>
        </is>
      </c>
      <c r="F1430" t="inlineStr">
        <is>
          <t>Kommuner</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72377-2018</t>
        </is>
      </c>
      <c r="B1431" s="1" t="n">
        <v>43461</v>
      </c>
      <c r="C1431" s="1" t="n">
        <v>45227</v>
      </c>
      <c r="D1431" t="inlineStr">
        <is>
          <t>VÄSTRA GÖTALANDS LÄN</t>
        </is>
      </c>
      <c r="E1431" t="inlineStr">
        <is>
          <t>UDDEVALLA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72367-2018</t>
        </is>
      </c>
      <c r="B1432" s="1" t="n">
        <v>43461</v>
      </c>
      <c r="C1432" s="1" t="n">
        <v>45227</v>
      </c>
      <c r="D1432" t="inlineStr">
        <is>
          <t>VÄSTRA GÖTALANDS LÄN</t>
        </is>
      </c>
      <c r="E1432" t="inlineStr">
        <is>
          <t>LYSEKIL</t>
        </is>
      </c>
      <c r="G1432" t="n">
        <v>3.6</v>
      </c>
      <c r="H1432" t="n">
        <v>0</v>
      </c>
      <c r="I1432" t="n">
        <v>0</v>
      </c>
      <c r="J1432" t="n">
        <v>0</v>
      </c>
      <c r="K1432" t="n">
        <v>0</v>
      </c>
      <c r="L1432" t="n">
        <v>0</v>
      </c>
      <c r="M1432" t="n">
        <v>0</v>
      </c>
      <c r="N1432" t="n">
        <v>0</v>
      </c>
      <c r="O1432" t="n">
        <v>0</v>
      </c>
      <c r="P1432" t="n">
        <v>0</v>
      </c>
      <c r="Q1432" t="n">
        <v>0</v>
      </c>
      <c r="R1432" s="2" t="inlineStr"/>
    </row>
    <row r="1433" ht="15" customHeight="1">
      <c r="A1433" t="inlineStr">
        <is>
          <t>A 72422-2018</t>
        </is>
      </c>
      <c r="B1433" s="1" t="n">
        <v>43461</v>
      </c>
      <c r="C1433" s="1" t="n">
        <v>45227</v>
      </c>
      <c r="D1433" t="inlineStr">
        <is>
          <t>VÄSTRA GÖTALANDS LÄN</t>
        </is>
      </c>
      <c r="E1433" t="inlineStr">
        <is>
          <t>TROLLHÄTTAN</t>
        </is>
      </c>
      <c r="G1433" t="n">
        <v>0.7</v>
      </c>
      <c r="H1433" t="n">
        <v>0</v>
      </c>
      <c r="I1433" t="n">
        <v>0</v>
      </c>
      <c r="J1433" t="n">
        <v>0</v>
      </c>
      <c r="K1433" t="n">
        <v>0</v>
      </c>
      <c r="L1433" t="n">
        <v>0</v>
      </c>
      <c r="M1433" t="n">
        <v>0</v>
      </c>
      <c r="N1433" t="n">
        <v>0</v>
      </c>
      <c r="O1433" t="n">
        <v>0</v>
      </c>
      <c r="P1433" t="n">
        <v>0</v>
      </c>
      <c r="Q1433" t="n">
        <v>0</v>
      </c>
      <c r="R1433" s="2" t="inlineStr"/>
    </row>
    <row r="1434" ht="15" customHeight="1">
      <c r="A1434" t="inlineStr">
        <is>
          <t>A 72430-2018</t>
        </is>
      </c>
      <c r="B1434" s="1" t="n">
        <v>43461</v>
      </c>
      <c r="C1434" s="1" t="n">
        <v>45227</v>
      </c>
      <c r="D1434" t="inlineStr">
        <is>
          <t>VÄSTRA GÖTALANDS LÄN</t>
        </is>
      </c>
      <c r="E1434" t="inlineStr">
        <is>
          <t>HERRLJUNGA</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72471-2018</t>
        </is>
      </c>
      <c r="B1435" s="1" t="n">
        <v>43461</v>
      </c>
      <c r="C1435" s="1" t="n">
        <v>45227</v>
      </c>
      <c r="D1435" t="inlineStr">
        <is>
          <t>VÄSTRA GÖTALANDS LÄN</t>
        </is>
      </c>
      <c r="E1435" t="inlineStr">
        <is>
          <t>TÖREBODA</t>
        </is>
      </c>
      <c r="G1435" t="n">
        <v>2.7</v>
      </c>
      <c r="H1435" t="n">
        <v>0</v>
      </c>
      <c r="I1435" t="n">
        <v>0</v>
      </c>
      <c r="J1435" t="n">
        <v>0</v>
      </c>
      <c r="K1435" t="n">
        <v>0</v>
      </c>
      <c r="L1435" t="n">
        <v>0</v>
      </c>
      <c r="M1435" t="n">
        <v>0</v>
      </c>
      <c r="N1435" t="n">
        <v>0</v>
      </c>
      <c r="O1435" t="n">
        <v>0</v>
      </c>
      <c r="P1435" t="n">
        <v>0</v>
      </c>
      <c r="Q1435" t="n">
        <v>0</v>
      </c>
      <c r="R1435" s="2" t="inlineStr"/>
    </row>
    <row r="1436" ht="15" customHeight="1">
      <c r="A1436" t="inlineStr">
        <is>
          <t>A 1682-2019</t>
        </is>
      </c>
      <c r="B1436" s="1" t="n">
        <v>43461</v>
      </c>
      <c r="C1436" s="1" t="n">
        <v>45227</v>
      </c>
      <c r="D1436" t="inlineStr">
        <is>
          <t>VÄSTRA GÖTALANDS LÄN</t>
        </is>
      </c>
      <c r="E1436" t="inlineStr">
        <is>
          <t>SVENLJUNGA</t>
        </is>
      </c>
      <c r="F1436" t="inlineStr">
        <is>
          <t>Kommuner</t>
        </is>
      </c>
      <c r="G1436" t="n">
        <v>4.4</v>
      </c>
      <c r="H1436" t="n">
        <v>0</v>
      </c>
      <c r="I1436" t="n">
        <v>0</v>
      </c>
      <c r="J1436" t="n">
        <v>0</v>
      </c>
      <c r="K1436" t="n">
        <v>0</v>
      </c>
      <c r="L1436" t="n">
        <v>0</v>
      </c>
      <c r="M1436" t="n">
        <v>0</v>
      </c>
      <c r="N1436" t="n">
        <v>0</v>
      </c>
      <c r="O1436" t="n">
        <v>0</v>
      </c>
      <c r="P1436" t="n">
        <v>0</v>
      </c>
      <c r="Q1436" t="n">
        <v>0</v>
      </c>
      <c r="R1436" s="2" t="inlineStr"/>
    </row>
    <row r="1437" ht="15" customHeight="1">
      <c r="A1437" t="inlineStr">
        <is>
          <t>A 72581-2018</t>
        </is>
      </c>
      <c r="B1437" s="1" t="n">
        <v>43462</v>
      </c>
      <c r="C1437" s="1" t="n">
        <v>45227</v>
      </c>
      <c r="D1437" t="inlineStr">
        <is>
          <t>VÄSTRA GÖTALANDS LÄN</t>
        </is>
      </c>
      <c r="E1437" t="inlineStr">
        <is>
          <t>SVENLJUNGA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1738-2019</t>
        </is>
      </c>
      <c r="B1438" s="1" t="n">
        <v>43462</v>
      </c>
      <c r="C1438" s="1" t="n">
        <v>45227</v>
      </c>
      <c r="D1438" t="inlineStr">
        <is>
          <t>VÄSTRA GÖTALANDS LÄN</t>
        </is>
      </c>
      <c r="E1438" t="inlineStr">
        <is>
          <t>ALINGSÅS</t>
        </is>
      </c>
      <c r="G1438" t="n">
        <v>0.8</v>
      </c>
      <c r="H1438" t="n">
        <v>0</v>
      </c>
      <c r="I1438" t="n">
        <v>0</v>
      </c>
      <c r="J1438" t="n">
        <v>0</v>
      </c>
      <c r="K1438" t="n">
        <v>0</v>
      </c>
      <c r="L1438" t="n">
        <v>0</v>
      </c>
      <c r="M1438" t="n">
        <v>0</v>
      </c>
      <c r="N1438" t="n">
        <v>0</v>
      </c>
      <c r="O1438" t="n">
        <v>0</v>
      </c>
      <c r="P1438" t="n">
        <v>0</v>
      </c>
      <c r="Q1438" t="n">
        <v>0</v>
      </c>
      <c r="R1438" s="2" t="inlineStr"/>
    </row>
    <row r="1439" ht="15" customHeight="1">
      <c r="A1439" t="inlineStr">
        <is>
          <t>A 1810-2019</t>
        </is>
      </c>
      <c r="B1439" s="1" t="n">
        <v>43462</v>
      </c>
      <c r="C1439" s="1" t="n">
        <v>45227</v>
      </c>
      <c r="D1439" t="inlineStr">
        <is>
          <t>VÄSTRA GÖTALANDS LÄN</t>
        </is>
      </c>
      <c r="E1439" t="inlineStr">
        <is>
          <t>BORÅS</t>
        </is>
      </c>
      <c r="G1439" t="n">
        <v>6.4</v>
      </c>
      <c r="H1439" t="n">
        <v>0</v>
      </c>
      <c r="I1439" t="n">
        <v>0</v>
      </c>
      <c r="J1439" t="n">
        <v>0</v>
      </c>
      <c r="K1439" t="n">
        <v>0</v>
      </c>
      <c r="L1439" t="n">
        <v>0</v>
      </c>
      <c r="M1439" t="n">
        <v>0</v>
      </c>
      <c r="N1439" t="n">
        <v>0</v>
      </c>
      <c r="O1439" t="n">
        <v>0</v>
      </c>
      <c r="P1439" t="n">
        <v>0</v>
      </c>
      <c r="Q1439" t="n">
        <v>0</v>
      </c>
      <c r="R1439" s="2" t="inlineStr"/>
    </row>
    <row r="1440" ht="15" customHeight="1">
      <c r="A1440" t="inlineStr">
        <is>
          <t>A 1797-2019</t>
        </is>
      </c>
      <c r="B1440" s="1" t="n">
        <v>43462</v>
      </c>
      <c r="C1440" s="1" t="n">
        <v>45227</v>
      </c>
      <c r="D1440" t="inlineStr">
        <is>
          <t>VÄSTRA GÖTALANDS LÄN</t>
        </is>
      </c>
      <c r="E1440" t="inlineStr">
        <is>
          <t>ALINGSÅS</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1724-2019</t>
        </is>
      </c>
      <c r="B1441" s="1" t="n">
        <v>43462</v>
      </c>
      <c r="C1441" s="1" t="n">
        <v>45227</v>
      </c>
      <c r="D1441" t="inlineStr">
        <is>
          <t>VÄSTRA GÖTALANDS LÄN</t>
        </is>
      </c>
      <c r="E1441" t="inlineStr">
        <is>
          <t>ULRICEHAMN</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1840-2019</t>
        </is>
      </c>
      <c r="B1442" s="1" t="n">
        <v>43462</v>
      </c>
      <c r="C1442" s="1" t="n">
        <v>45227</v>
      </c>
      <c r="D1442" t="inlineStr">
        <is>
          <t>VÄSTRA GÖTALANDS LÄN</t>
        </is>
      </c>
      <c r="E1442" t="inlineStr">
        <is>
          <t>VÄNERSBORG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72556-2018</t>
        </is>
      </c>
      <c r="B1443" s="1" t="n">
        <v>43462</v>
      </c>
      <c r="C1443" s="1" t="n">
        <v>45227</v>
      </c>
      <c r="D1443" t="inlineStr">
        <is>
          <t>VÄSTRA GÖTALANDS LÄN</t>
        </is>
      </c>
      <c r="E1443" t="inlineStr">
        <is>
          <t>STRÖMSTAD</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1799-2019</t>
        </is>
      </c>
      <c r="B1444" s="1" t="n">
        <v>43462</v>
      </c>
      <c r="C1444" s="1" t="n">
        <v>45227</v>
      </c>
      <c r="D1444" t="inlineStr">
        <is>
          <t>VÄSTRA GÖTALANDS LÄN</t>
        </is>
      </c>
      <c r="E1444" t="inlineStr">
        <is>
          <t>ALINGSÅS</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72608-2018</t>
        </is>
      </c>
      <c r="B1445" s="1" t="n">
        <v>43463</v>
      </c>
      <c r="C1445" s="1" t="n">
        <v>45227</v>
      </c>
      <c r="D1445" t="inlineStr">
        <is>
          <t>VÄSTRA GÖTALANDS LÄN</t>
        </is>
      </c>
      <c r="E1445" t="inlineStr">
        <is>
          <t>LERUM</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72609-2018</t>
        </is>
      </c>
      <c r="B1446" s="1" t="n">
        <v>43463</v>
      </c>
      <c r="C1446" s="1" t="n">
        <v>45227</v>
      </c>
      <c r="D1446" t="inlineStr">
        <is>
          <t>VÄSTRA GÖTALANDS LÄN</t>
        </is>
      </c>
      <c r="E1446" t="inlineStr">
        <is>
          <t>LERUM</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72611-2018</t>
        </is>
      </c>
      <c r="B1447" s="1" t="n">
        <v>43463</v>
      </c>
      <c r="C1447" s="1" t="n">
        <v>45227</v>
      </c>
      <c r="D1447" t="inlineStr">
        <is>
          <t>VÄSTRA GÖTALANDS LÄN</t>
        </is>
      </c>
      <c r="E1447" t="inlineStr">
        <is>
          <t>LERUM</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72634-2018</t>
        </is>
      </c>
      <c r="B1448" s="1" t="n">
        <v>43464</v>
      </c>
      <c r="C1448" s="1" t="n">
        <v>45227</v>
      </c>
      <c r="D1448" t="inlineStr">
        <is>
          <t>VÄSTRA GÖTALANDS LÄN</t>
        </is>
      </c>
      <c r="E1448" t="inlineStr">
        <is>
          <t>ULRICEHAMN</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72632-2018</t>
        </is>
      </c>
      <c r="B1449" s="1" t="n">
        <v>43464</v>
      </c>
      <c r="C1449" s="1" t="n">
        <v>45227</v>
      </c>
      <c r="D1449" t="inlineStr">
        <is>
          <t>VÄSTRA GÖTALANDS LÄN</t>
        </is>
      </c>
      <c r="E1449" t="inlineStr">
        <is>
          <t>ULRICEHAMN</t>
        </is>
      </c>
      <c r="G1449" t="n">
        <v>4</v>
      </c>
      <c r="H1449" t="n">
        <v>0</v>
      </c>
      <c r="I1449" t="n">
        <v>0</v>
      </c>
      <c r="J1449" t="n">
        <v>0</v>
      </c>
      <c r="K1449" t="n">
        <v>0</v>
      </c>
      <c r="L1449" t="n">
        <v>0</v>
      </c>
      <c r="M1449" t="n">
        <v>0</v>
      </c>
      <c r="N1449" t="n">
        <v>0</v>
      </c>
      <c r="O1449" t="n">
        <v>0</v>
      </c>
      <c r="P1449" t="n">
        <v>0</v>
      </c>
      <c r="Q1449" t="n">
        <v>0</v>
      </c>
      <c r="R1449" s="2" t="inlineStr"/>
    </row>
    <row r="1450" ht="15" customHeight="1">
      <c r="A1450" t="inlineStr">
        <is>
          <t>A 72633-2018</t>
        </is>
      </c>
      <c r="B1450" s="1" t="n">
        <v>43464</v>
      </c>
      <c r="C1450" s="1" t="n">
        <v>45227</v>
      </c>
      <c r="D1450" t="inlineStr">
        <is>
          <t>VÄSTRA GÖTALANDS LÄN</t>
        </is>
      </c>
      <c r="E1450" t="inlineStr">
        <is>
          <t>ULRICEHAMN</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72654-2018</t>
        </is>
      </c>
      <c r="B1451" s="1" t="n">
        <v>43465</v>
      </c>
      <c r="C1451" s="1" t="n">
        <v>45227</v>
      </c>
      <c r="D1451" t="inlineStr">
        <is>
          <t>VÄSTRA GÖTALANDS LÄN</t>
        </is>
      </c>
      <c r="E1451" t="inlineStr">
        <is>
          <t>DALS-ED</t>
        </is>
      </c>
      <c r="G1451" t="n">
        <v>29.4</v>
      </c>
      <c r="H1451" t="n">
        <v>0</v>
      </c>
      <c r="I1451" t="n">
        <v>0</v>
      </c>
      <c r="J1451" t="n">
        <v>0</v>
      </c>
      <c r="K1451" t="n">
        <v>0</v>
      </c>
      <c r="L1451" t="n">
        <v>0</v>
      </c>
      <c r="M1451" t="n">
        <v>0</v>
      </c>
      <c r="N1451" t="n">
        <v>0</v>
      </c>
      <c r="O1451" t="n">
        <v>0</v>
      </c>
      <c r="P1451" t="n">
        <v>0</v>
      </c>
      <c r="Q1451" t="n">
        <v>0</v>
      </c>
      <c r="R1451" s="2" t="inlineStr"/>
    </row>
    <row r="1452" ht="15" customHeight="1">
      <c r="A1452" t="inlineStr">
        <is>
          <t>A 72655-2018</t>
        </is>
      </c>
      <c r="B1452" s="1" t="n">
        <v>43465</v>
      </c>
      <c r="C1452" s="1" t="n">
        <v>45227</v>
      </c>
      <c r="D1452" t="inlineStr">
        <is>
          <t>VÄSTRA GÖTALANDS LÄN</t>
        </is>
      </c>
      <c r="E1452" t="inlineStr">
        <is>
          <t>DALS-ED</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4-2019</t>
        </is>
      </c>
      <c r="B1453" s="1" t="n">
        <v>43466</v>
      </c>
      <c r="C1453" s="1" t="n">
        <v>45227</v>
      </c>
      <c r="D1453" t="inlineStr">
        <is>
          <t>VÄSTRA GÖTALANDS LÄN</t>
        </is>
      </c>
      <c r="E1453" t="inlineStr">
        <is>
          <t>SKÖVDE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55-2019</t>
        </is>
      </c>
      <c r="B1454" s="1" t="n">
        <v>43467</v>
      </c>
      <c r="C1454" s="1" t="n">
        <v>45227</v>
      </c>
      <c r="D1454" t="inlineStr">
        <is>
          <t>VÄSTRA GÖTALANDS LÄN</t>
        </is>
      </c>
      <c r="E1454" t="inlineStr">
        <is>
          <t>BENGTSFORS</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218-2019</t>
        </is>
      </c>
      <c r="B1455" s="1" t="n">
        <v>43467</v>
      </c>
      <c r="C1455" s="1" t="n">
        <v>45227</v>
      </c>
      <c r="D1455" t="inlineStr">
        <is>
          <t>VÄSTRA GÖTALANDS LÄN</t>
        </is>
      </c>
      <c r="E1455" t="inlineStr">
        <is>
          <t>MARIESTAD</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27-2019</t>
        </is>
      </c>
      <c r="B1456" s="1" t="n">
        <v>43467</v>
      </c>
      <c r="C1456" s="1" t="n">
        <v>45227</v>
      </c>
      <c r="D1456" t="inlineStr">
        <is>
          <t>VÄSTRA GÖTALANDS LÄN</t>
        </is>
      </c>
      <c r="E1456" t="inlineStr">
        <is>
          <t>UDDEVALLA</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101-2019</t>
        </is>
      </c>
      <c r="B1457" s="1" t="n">
        <v>43467</v>
      </c>
      <c r="C1457" s="1" t="n">
        <v>45227</v>
      </c>
      <c r="D1457" t="inlineStr">
        <is>
          <t>VÄSTRA GÖTALANDS LÄN</t>
        </is>
      </c>
      <c r="E1457" t="inlineStr">
        <is>
          <t>LILLA EDET</t>
        </is>
      </c>
      <c r="G1457" t="n">
        <v>3.6</v>
      </c>
      <c r="H1457" t="n">
        <v>0</v>
      </c>
      <c r="I1457" t="n">
        <v>0</v>
      </c>
      <c r="J1457" t="n">
        <v>0</v>
      </c>
      <c r="K1457" t="n">
        <v>0</v>
      </c>
      <c r="L1457" t="n">
        <v>0</v>
      </c>
      <c r="M1457" t="n">
        <v>0</v>
      </c>
      <c r="N1457" t="n">
        <v>0</v>
      </c>
      <c r="O1457" t="n">
        <v>0</v>
      </c>
      <c r="P1457" t="n">
        <v>0</v>
      </c>
      <c r="Q1457" t="n">
        <v>0</v>
      </c>
      <c r="R1457" s="2" t="inlineStr"/>
    </row>
    <row r="1458" ht="15" customHeight="1">
      <c r="A1458" t="inlineStr">
        <is>
          <t>A 251-2019</t>
        </is>
      </c>
      <c r="B1458" s="1" t="n">
        <v>43468</v>
      </c>
      <c r="C1458" s="1" t="n">
        <v>45227</v>
      </c>
      <c r="D1458" t="inlineStr">
        <is>
          <t>VÄSTRA GÖTALANDS LÄN</t>
        </is>
      </c>
      <c r="E1458" t="inlineStr">
        <is>
          <t>MARK</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411-2019</t>
        </is>
      </c>
      <c r="B1459" s="1" t="n">
        <v>43468</v>
      </c>
      <c r="C1459" s="1" t="n">
        <v>45227</v>
      </c>
      <c r="D1459" t="inlineStr">
        <is>
          <t>VÄSTRA GÖTALANDS LÄN</t>
        </is>
      </c>
      <c r="E1459" t="inlineStr">
        <is>
          <t>ORUST</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381-2019</t>
        </is>
      </c>
      <c r="B1460" s="1" t="n">
        <v>43468</v>
      </c>
      <c r="C1460" s="1" t="n">
        <v>45227</v>
      </c>
      <c r="D1460" t="inlineStr">
        <is>
          <t>VÄSTRA GÖTALANDS LÄN</t>
        </is>
      </c>
      <c r="E1460" t="inlineStr">
        <is>
          <t>BOLLEBYGD</t>
        </is>
      </c>
      <c r="G1460" t="n">
        <v>1.8</v>
      </c>
      <c r="H1460" t="n">
        <v>0</v>
      </c>
      <c r="I1460" t="n">
        <v>0</v>
      </c>
      <c r="J1460" t="n">
        <v>0</v>
      </c>
      <c r="K1460" t="n">
        <v>0</v>
      </c>
      <c r="L1460" t="n">
        <v>0</v>
      </c>
      <c r="M1460" t="n">
        <v>0</v>
      </c>
      <c r="N1460" t="n">
        <v>0</v>
      </c>
      <c r="O1460" t="n">
        <v>0</v>
      </c>
      <c r="P1460" t="n">
        <v>0</v>
      </c>
      <c r="Q1460" t="n">
        <v>0</v>
      </c>
      <c r="R1460" s="2" t="inlineStr"/>
    </row>
    <row r="1461" ht="15" customHeight="1">
      <c r="A1461" t="inlineStr">
        <is>
          <t>A 2513-2019</t>
        </is>
      </c>
      <c r="B1461" s="1" t="n">
        <v>43468</v>
      </c>
      <c r="C1461" s="1" t="n">
        <v>45227</v>
      </c>
      <c r="D1461" t="inlineStr">
        <is>
          <t>VÄSTRA GÖTALANDS LÄN</t>
        </is>
      </c>
      <c r="E1461" t="inlineStr">
        <is>
          <t>GULLSPÅNG</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2533-2019</t>
        </is>
      </c>
      <c r="B1462" s="1" t="n">
        <v>43468</v>
      </c>
      <c r="C1462" s="1" t="n">
        <v>45227</v>
      </c>
      <c r="D1462" t="inlineStr">
        <is>
          <t>VÄSTRA GÖTALANDS LÄN</t>
        </is>
      </c>
      <c r="E1462" t="inlineStr">
        <is>
          <t>GULLSPÅNG</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331-2019</t>
        </is>
      </c>
      <c r="B1463" s="1" t="n">
        <v>43468</v>
      </c>
      <c r="C1463" s="1" t="n">
        <v>45227</v>
      </c>
      <c r="D1463" t="inlineStr">
        <is>
          <t>VÄSTRA GÖTALANDS LÄN</t>
        </is>
      </c>
      <c r="E1463" t="inlineStr">
        <is>
          <t>BENGTSFORS</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337-2019</t>
        </is>
      </c>
      <c r="B1464" s="1" t="n">
        <v>43468</v>
      </c>
      <c r="C1464" s="1" t="n">
        <v>45227</v>
      </c>
      <c r="D1464" t="inlineStr">
        <is>
          <t>VÄSTRA GÖTALANDS LÄN</t>
        </is>
      </c>
      <c r="E1464" t="inlineStr">
        <is>
          <t>ALINGSÅS</t>
        </is>
      </c>
      <c r="G1464" t="n">
        <v>2.2</v>
      </c>
      <c r="H1464" t="n">
        <v>0</v>
      </c>
      <c r="I1464" t="n">
        <v>0</v>
      </c>
      <c r="J1464" t="n">
        <v>0</v>
      </c>
      <c r="K1464" t="n">
        <v>0</v>
      </c>
      <c r="L1464" t="n">
        <v>0</v>
      </c>
      <c r="M1464" t="n">
        <v>0</v>
      </c>
      <c r="N1464" t="n">
        <v>0</v>
      </c>
      <c r="O1464" t="n">
        <v>0</v>
      </c>
      <c r="P1464" t="n">
        <v>0</v>
      </c>
      <c r="Q1464" t="n">
        <v>0</v>
      </c>
      <c r="R1464" s="2" t="inlineStr"/>
    </row>
    <row r="1465" ht="15" customHeight="1">
      <c r="A1465" t="inlineStr">
        <is>
          <t>A 383-2019</t>
        </is>
      </c>
      <c r="B1465" s="1" t="n">
        <v>43468</v>
      </c>
      <c r="C1465" s="1" t="n">
        <v>45227</v>
      </c>
      <c r="D1465" t="inlineStr">
        <is>
          <t>VÄSTRA GÖTALANDS LÄN</t>
        </is>
      </c>
      <c r="E1465" t="inlineStr">
        <is>
          <t>BOLLEBYGD</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2531-2019</t>
        </is>
      </c>
      <c r="B1466" s="1" t="n">
        <v>43468</v>
      </c>
      <c r="C1466" s="1" t="n">
        <v>45227</v>
      </c>
      <c r="D1466" t="inlineStr">
        <is>
          <t>VÄSTRA GÖTALANDS LÄN</t>
        </is>
      </c>
      <c r="E1466" t="inlineStr">
        <is>
          <t>GULLSPÅNG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309-2019</t>
        </is>
      </c>
      <c r="B1467" s="1" t="n">
        <v>43468</v>
      </c>
      <c r="C1467" s="1" t="n">
        <v>45227</v>
      </c>
      <c r="D1467" t="inlineStr">
        <is>
          <t>VÄSTRA GÖTALANDS LÄN</t>
        </is>
      </c>
      <c r="E1467" t="inlineStr">
        <is>
          <t>MARK</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669-2019</t>
        </is>
      </c>
      <c r="B1468" s="1" t="n">
        <v>43469</v>
      </c>
      <c r="C1468" s="1" t="n">
        <v>45227</v>
      </c>
      <c r="D1468" t="inlineStr">
        <is>
          <t>VÄSTRA GÖTALANDS LÄN</t>
        </is>
      </c>
      <c r="E1468" t="inlineStr">
        <is>
          <t>TJÖRN</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2901-2019</t>
        </is>
      </c>
      <c r="B1469" s="1" t="n">
        <v>43469</v>
      </c>
      <c r="C1469" s="1" t="n">
        <v>45227</v>
      </c>
      <c r="D1469" t="inlineStr">
        <is>
          <t>VÄSTRA GÖTALANDS LÄN</t>
        </is>
      </c>
      <c r="E1469" t="inlineStr">
        <is>
          <t>BORÅS</t>
        </is>
      </c>
      <c r="F1469" t="inlineStr">
        <is>
          <t>Kommuner</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640-2019</t>
        </is>
      </c>
      <c r="B1470" s="1" t="n">
        <v>43469</v>
      </c>
      <c r="C1470" s="1" t="n">
        <v>45227</v>
      </c>
      <c r="D1470" t="inlineStr">
        <is>
          <t>VÄSTRA GÖTALANDS LÄN</t>
        </is>
      </c>
      <c r="E1470" t="inlineStr">
        <is>
          <t>TRANEMO</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661-2019</t>
        </is>
      </c>
      <c r="B1471" s="1" t="n">
        <v>43469</v>
      </c>
      <c r="C1471" s="1" t="n">
        <v>45227</v>
      </c>
      <c r="D1471" t="inlineStr">
        <is>
          <t>VÄSTRA GÖTALANDS LÄN</t>
        </is>
      </c>
      <c r="E1471" t="inlineStr">
        <is>
          <t>SKÖVDE</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688-2019</t>
        </is>
      </c>
      <c r="B1472" s="1" t="n">
        <v>43469</v>
      </c>
      <c r="C1472" s="1" t="n">
        <v>45227</v>
      </c>
      <c r="D1472" t="inlineStr">
        <is>
          <t>VÄSTRA GÖTALANDS LÄN</t>
        </is>
      </c>
      <c r="E1472" t="inlineStr">
        <is>
          <t>FALKÖPING</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2700-2019</t>
        </is>
      </c>
      <c r="B1473" s="1" t="n">
        <v>43469</v>
      </c>
      <c r="C1473" s="1" t="n">
        <v>45227</v>
      </c>
      <c r="D1473" t="inlineStr">
        <is>
          <t>VÄSTRA GÖTALANDS LÄN</t>
        </is>
      </c>
      <c r="E1473" t="inlineStr">
        <is>
          <t>VÅRGÅRDA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706-2019</t>
        </is>
      </c>
      <c r="B1474" s="1" t="n">
        <v>43470</v>
      </c>
      <c r="C1474" s="1" t="n">
        <v>45227</v>
      </c>
      <c r="D1474" t="inlineStr">
        <is>
          <t>VÄSTRA GÖTALANDS LÄN</t>
        </is>
      </c>
      <c r="E1474" t="inlineStr">
        <is>
          <t>BENGTSFORS</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756-2019</t>
        </is>
      </c>
      <c r="B1475" s="1" t="n">
        <v>43471</v>
      </c>
      <c r="C1475" s="1" t="n">
        <v>45227</v>
      </c>
      <c r="D1475" t="inlineStr">
        <is>
          <t>VÄSTRA GÖTALANDS LÄN</t>
        </is>
      </c>
      <c r="E1475" t="inlineStr">
        <is>
          <t>ALE</t>
        </is>
      </c>
      <c r="F1475" t="inlineStr">
        <is>
          <t>Kommuner</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714-2019</t>
        </is>
      </c>
      <c r="B1476" s="1" t="n">
        <v>43471</v>
      </c>
      <c r="C1476" s="1" t="n">
        <v>45227</v>
      </c>
      <c r="D1476" t="inlineStr">
        <is>
          <t>VÄSTRA GÖTALANDS LÄN</t>
        </is>
      </c>
      <c r="E1476" t="inlineStr">
        <is>
          <t>FÄRGELANDA</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2696-2019</t>
        </is>
      </c>
      <c r="B1477" s="1" t="n">
        <v>43471</v>
      </c>
      <c r="C1477" s="1" t="n">
        <v>45227</v>
      </c>
      <c r="D1477" t="inlineStr">
        <is>
          <t>VÄSTRA GÖTALANDS LÄN</t>
        </is>
      </c>
      <c r="E1477" t="inlineStr">
        <is>
          <t>STRÖMSTAD</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2547-2019</t>
        </is>
      </c>
      <c r="B1478" s="1" t="n">
        <v>43471</v>
      </c>
      <c r="C1478" s="1" t="n">
        <v>45227</v>
      </c>
      <c r="D1478" t="inlineStr">
        <is>
          <t>VÄSTRA GÖTALANDS LÄN</t>
        </is>
      </c>
      <c r="E1478" t="inlineStr">
        <is>
          <t>STRÖMSTAD</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2841-2019</t>
        </is>
      </c>
      <c r="B1479" s="1" t="n">
        <v>43472</v>
      </c>
      <c r="C1479" s="1" t="n">
        <v>45227</v>
      </c>
      <c r="D1479" t="inlineStr">
        <is>
          <t>VÄSTRA GÖTALANDS LÄN</t>
        </is>
      </c>
      <c r="E1479" t="inlineStr">
        <is>
          <t>SKARA</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2935-2019</t>
        </is>
      </c>
      <c r="B1480" s="1" t="n">
        <v>43472</v>
      </c>
      <c r="C1480" s="1" t="n">
        <v>45227</v>
      </c>
      <c r="D1480" t="inlineStr">
        <is>
          <t>VÄSTRA GÖTALANDS LÄN</t>
        </is>
      </c>
      <c r="E1480" t="inlineStr">
        <is>
          <t>LIDKÖPING</t>
        </is>
      </c>
      <c r="F1480" t="inlineStr">
        <is>
          <t>Kommuner</t>
        </is>
      </c>
      <c r="G1480" t="n">
        <v>0.7</v>
      </c>
      <c r="H1480" t="n">
        <v>0</v>
      </c>
      <c r="I1480" t="n">
        <v>0</v>
      </c>
      <c r="J1480" t="n">
        <v>0</v>
      </c>
      <c r="K1480" t="n">
        <v>0</v>
      </c>
      <c r="L1480" t="n">
        <v>0</v>
      </c>
      <c r="M1480" t="n">
        <v>0</v>
      </c>
      <c r="N1480" t="n">
        <v>0</v>
      </c>
      <c r="O1480" t="n">
        <v>0</v>
      </c>
      <c r="P1480" t="n">
        <v>0</v>
      </c>
      <c r="Q1480" t="n">
        <v>0</v>
      </c>
      <c r="R1480" s="2" t="inlineStr"/>
    </row>
    <row r="1481" ht="15" customHeight="1">
      <c r="A1481" t="inlineStr">
        <is>
          <t>A 2944-2019</t>
        </is>
      </c>
      <c r="B1481" s="1" t="n">
        <v>43472</v>
      </c>
      <c r="C1481" s="1" t="n">
        <v>45227</v>
      </c>
      <c r="D1481" t="inlineStr">
        <is>
          <t>VÄSTRA GÖTALANDS LÄN</t>
        </is>
      </c>
      <c r="E1481" t="inlineStr">
        <is>
          <t>LIDKÖPING</t>
        </is>
      </c>
      <c r="F1481" t="inlineStr">
        <is>
          <t>Kommuner</t>
        </is>
      </c>
      <c r="G1481" t="n">
        <v>2.2</v>
      </c>
      <c r="H1481" t="n">
        <v>0</v>
      </c>
      <c r="I1481" t="n">
        <v>0</v>
      </c>
      <c r="J1481" t="n">
        <v>0</v>
      </c>
      <c r="K1481" t="n">
        <v>0</v>
      </c>
      <c r="L1481" t="n">
        <v>0</v>
      </c>
      <c r="M1481" t="n">
        <v>0</v>
      </c>
      <c r="N1481" t="n">
        <v>0</v>
      </c>
      <c r="O1481" t="n">
        <v>0</v>
      </c>
      <c r="P1481" t="n">
        <v>0</v>
      </c>
      <c r="Q1481" t="n">
        <v>0</v>
      </c>
      <c r="R1481" s="2" t="inlineStr"/>
    </row>
    <row r="1482" ht="15" customHeight="1">
      <c r="A1482" t="inlineStr">
        <is>
          <t>A 789-2019</t>
        </is>
      </c>
      <c r="B1482" s="1" t="n">
        <v>43472</v>
      </c>
      <c r="C1482" s="1" t="n">
        <v>45227</v>
      </c>
      <c r="D1482" t="inlineStr">
        <is>
          <t>VÄSTRA GÖTALANDS LÄN</t>
        </is>
      </c>
      <c r="E1482" t="inlineStr">
        <is>
          <t>BORÅS</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853-2019</t>
        </is>
      </c>
      <c r="B1483" s="1" t="n">
        <v>43472</v>
      </c>
      <c r="C1483" s="1" t="n">
        <v>45227</v>
      </c>
      <c r="D1483" t="inlineStr">
        <is>
          <t>VÄSTRA GÖTALANDS LÄN</t>
        </is>
      </c>
      <c r="E1483" t="inlineStr">
        <is>
          <t>MARK</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880-2019</t>
        </is>
      </c>
      <c r="B1484" s="1" t="n">
        <v>43472</v>
      </c>
      <c r="C1484" s="1" t="n">
        <v>45227</v>
      </c>
      <c r="D1484" t="inlineStr">
        <is>
          <t>VÄSTRA GÖTALANDS LÄN</t>
        </is>
      </c>
      <c r="E1484" t="inlineStr">
        <is>
          <t>BENGTSFORS</t>
        </is>
      </c>
      <c r="G1484" t="n">
        <v>18.2</v>
      </c>
      <c r="H1484" t="n">
        <v>0</v>
      </c>
      <c r="I1484" t="n">
        <v>0</v>
      </c>
      <c r="J1484" t="n">
        <v>0</v>
      </c>
      <c r="K1484" t="n">
        <v>0</v>
      </c>
      <c r="L1484" t="n">
        <v>0</v>
      </c>
      <c r="M1484" t="n">
        <v>0</v>
      </c>
      <c r="N1484" t="n">
        <v>0</v>
      </c>
      <c r="O1484" t="n">
        <v>0</v>
      </c>
      <c r="P1484" t="n">
        <v>0</v>
      </c>
      <c r="Q1484" t="n">
        <v>0</v>
      </c>
      <c r="R1484" s="2" t="inlineStr"/>
    </row>
    <row r="1485" ht="15" customHeight="1">
      <c r="A1485" t="inlineStr">
        <is>
          <t>A 2766-2019</t>
        </is>
      </c>
      <c r="B1485" s="1" t="n">
        <v>43472</v>
      </c>
      <c r="C1485" s="1" t="n">
        <v>45227</v>
      </c>
      <c r="D1485" t="inlineStr">
        <is>
          <t>VÄSTRA GÖTALANDS LÄN</t>
        </is>
      </c>
      <c r="E1485" t="inlineStr">
        <is>
          <t>MARK</t>
        </is>
      </c>
      <c r="G1485" t="n">
        <v>11.5</v>
      </c>
      <c r="H1485" t="n">
        <v>0</v>
      </c>
      <c r="I1485" t="n">
        <v>0</v>
      </c>
      <c r="J1485" t="n">
        <v>0</v>
      </c>
      <c r="K1485" t="n">
        <v>0</v>
      </c>
      <c r="L1485" t="n">
        <v>0</v>
      </c>
      <c r="M1485" t="n">
        <v>0</v>
      </c>
      <c r="N1485" t="n">
        <v>0</v>
      </c>
      <c r="O1485" t="n">
        <v>0</v>
      </c>
      <c r="P1485" t="n">
        <v>0</v>
      </c>
      <c r="Q1485" t="n">
        <v>0</v>
      </c>
      <c r="R1485" s="2" t="inlineStr"/>
    </row>
    <row r="1486" ht="15" customHeight="1">
      <c r="A1486" t="inlineStr">
        <is>
          <t>A 2782-2019</t>
        </is>
      </c>
      <c r="B1486" s="1" t="n">
        <v>43472</v>
      </c>
      <c r="C1486" s="1" t="n">
        <v>45227</v>
      </c>
      <c r="D1486" t="inlineStr">
        <is>
          <t>VÄSTRA GÖTALANDS LÄN</t>
        </is>
      </c>
      <c r="E1486" t="inlineStr">
        <is>
          <t>DALS-ED</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2940-2019</t>
        </is>
      </c>
      <c r="B1487" s="1" t="n">
        <v>43472</v>
      </c>
      <c r="C1487" s="1" t="n">
        <v>45227</v>
      </c>
      <c r="D1487" t="inlineStr">
        <is>
          <t>VÄSTRA GÖTALANDS LÄN</t>
        </is>
      </c>
      <c r="E1487" t="inlineStr">
        <is>
          <t>LIDKÖPING</t>
        </is>
      </c>
      <c r="F1487" t="inlineStr">
        <is>
          <t>Kommuner</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1079-2019</t>
        </is>
      </c>
      <c r="B1488" s="1" t="n">
        <v>43472</v>
      </c>
      <c r="C1488" s="1" t="n">
        <v>45227</v>
      </c>
      <c r="D1488" t="inlineStr">
        <is>
          <t>VÄSTRA GÖTALANDS LÄN</t>
        </is>
      </c>
      <c r="E1488" t="inlineStr">
        <is>
          <t>TRANEMO</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1095-2019</t>
        </is>
      </c>
      <c r="B1489" s="1" t="n">
        <v>43472</v>
      </c>
      <c r="C1489" s="1" t="n">
        <v>45227</v>
      </c>
      <c r="D1489" t="inlineStr">
        <is>
          <t>VÄSTRA GÖTALANDS LÄN</t>
        </is>
      </c>
      <c r="E1489" t="inlineStr">
        <is>
          <t>HJO</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2734-2019</t>
        </is>
      </c>
      <c r="B1490" s="1" t="n">
        <v>43472</v>
      </c>
      <c r="C1490" s="1" t="n">
        <v>45227</v>
      </c>
      <c r="D1490" t="inlineStr">
        <is>
          <t>VÄSTRA GÖTALANDS LÄN</t>
        </is>
      </c>
      <c r="E1490" t="inlineStr">
        <is>
          <t>BORÅS</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2803-2019</t>
        </is>
      </c>
      <c r="B1491" s="1" t="n">
        <v>43472</v>
      </c>
      <c r="C1491" s="1" t="n">
        <v>45227</v>
      </c>
      <c r="D1491" t="inlineStr">
        <is>
          <t>VÄSTRA GÖTALANDS LÄN</t>
        </is>
      </c>
      <c r="E1491" t="inlineStr">
        <is>
          <t>TANUM</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908-2019</t>
        </is>
      </c>
      <c r="B1492" s="1" t="n">
        <v>43472</v>
      </c>
      <c r="C1492" s="1" t="n">
        <v>45227</v>
      </c>
      <c r="D1492" t="inlineStr">
        <is>
          <t>VÄSTRA GÖTALANDS LÄN</t>
        </is>
      </c>
      <c r="E1492" t="inlineStr">
        <is>
          <t>VÅRGÅRDA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2834-2019</t>
        </is>
      </c>
      <c r="B1493" s="1" t="n">
        <v>43472</v>
      </c>
      <c r="C1493" s="1" t="n">
        <v>45227</v>
      </c>
      <c r="D1493" t="inlineStr">
        <is>
          <t>VÄSTRA GÖTALANDS LÄN</t>
        </is>
      </c>
      <c r="E1493" t="inlineStr">
        <is>
          <t>SKARA</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2927-2019</t>
        </is>
      </c>
      <c r="B1494" s="1" t="n">
        <v>43472</v>
      </c>
      <c r="C1494" s="1" t="n">
        <v>45227</v>
      </c>
      <c r="D1494" t="inlineStr">
        <is>
          <t>VÄSTRA GÖTALANDS LÄN</t>
        </is>
      </c>
      <c r="E1494" t="inlineStr">
        <is>
          <t>LIDKÖPING</t>
        </is>
      </c>
      <c r="F1494" t="inlineStr">
        <is>
          <t>Kommuner</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788-2019</t>
        </is>
      </c>
      <c r="B1495" s="1" t="n">
        <v>43472</v>
      </c>
      <c r="C1495" s="1" t="n">
        <v>45227</v>
      </c>
      <c r="D1495" t="inlineStr">
        <is>
          <t>VÄSTRA GÖTALANDS LÄN</t>
        </is>
      </c>
      <c r="E1495" t="inlineStr">
        <is>
          <t>FÄRGELANDA</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1083-2019</t>
        </is>
      </c>
      <c r="B1496" s="1" t="n">
        <v>43472</v>
      </c>
      <c r="C1496" s="1" t="n">
        <v>45227</v>
      </c>
      <c r="D1496" t="inlineStr">
        <is>
          <t>VÄSTRA GÖTALANDS LÄN</t>
        </is>
      </c>
      <c r="E1496" t="inlineStr">
        <is>
          <t>TRANEMO</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1100-2019</t>
        </is>
      </c>
      <c r="B1497" s="1" t="n">
        <v>43472</v>
      </c>
      <c r="C1497" s="1" t="n">
        <v>45227</v>
      </c>
      <c r="D1497" t="inlineStr">
        <is>
          <t>VÄSTRA GÖTALANDS LÄN</t>
        </is>
      </c>
      <c r="E1497" t="inlineStr">
        <is>
          <t>TIDAHOLM</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1283-2019</t>
        </is>
      </c>
      <c r="B1498" s="1" t="n">
        <v>43473</v>
      </c>
      <c r="C1498" s="1" t="n">
        <v>45227</v>
      </c>
      <c r="D1498" t="inlineStr">
        <is>
          <t>VÄSTRA GÖTALANDS LÄN</t>
        </is>
      </c>
      <c r="E1498" t="inlineStr">
        <is>
          <t>FALKÖPING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1299-2019</t>
        </is>
      </c>
      <c r="B1499" s="1" t="n">
        <v>43473</v>
      </c>
      <c r="C1499" s="1" t="n">
        <v>45227</v>
      </c>
      <c r="D1499" t="inlineStr">
        <is>
          <t>VÄSTRA GÖTALANDS LÄN</t>
        </is>
      </c>
      <c r="E1499" t="inlineStr">
        <is>
          <t>SVENLJUNGA</t>
        </is>
      </c>
      <c r="G1499" t="n">
        <v>2.4</v>
      </c>
      <c r="H1499" t="n">
        <v>0</v>
      </c>
      <c r="I1499" t="n">
        <v>0</v>
      </c>
      <c r="J1499" t="n">
        <v>0</v>
      </c>
      <c r="K1499" t="n">
        <v>0</v>
      </c>
      <c r="L1499" t="n">
        <v>0</v>
      </c>
      <c r="M1499" t="n">
        <v>0</v>
      </c>
      <c r="N1499" t="n">
        <v>0</v>
      </c>
      <c r="O1499" t="n">
        <v>0</v>
      </c>
      <c r="P1499" t="n">
        <v>0</v>
      </c>
      <c r="Q1499" t="n">
        <v>0</v>
      </c>
      <c r="R1499" s="2" t="inlineStr"/>
    </row>
    <row r="1500" ht="15" customHeight="1">
      <c r="A1500" t="inlineStr">
        <is>
          <t>A 1359-2019</t>
        </is>
      </c>
      <c r="B1500" s="1" t="n">
        <v>43473</v>
      </c>
      <c r="C1500" s="1" t="n">
        <v>45227</v>
      </c>
      <c r="D1500" t="inlineStr">
        <is>
          <t>VÄSTRA GÖTALANDS LÄN</t>
        </is>
      </c>
      <c r="E1500" t="inlineStr">
        <is>
          <t>GÖTENE</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1428-2019</t>
        </is>
      </c>
      <c r="B1501" s="1" t="n">
        <v>43473</v>
      </c>
      <c r="C1501" s="1" t="n">
        <v>45227</v>
      </c>
      <c r="D1501" t="inlineStr">
        <is>
          <t>VÄSTRA GÖTALANDS LÄN</t>
        </is>
      </c>
      <c r="E1501" t="inlineStr">
        <is>
          <t>TRANEMO</t>
        </is>
      </c>
      <c r="F1501" t="inlineStr">
        <is>
          <t>Sveaskog</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1457-2019</t>
        </is>
      </c>
      <c r="B1502" s="1" t="n">
        <v>43473</v>
      </c>
      <c r="C1502" s="1" t="n">
        <v>45227</v>
      </c>
      <c r="D1502" t="inlineStr">
        <is>
          <t>VÄSTRA GÖTALANDS LÄN</t>
        </is>
      </c>
      <c r="E1502" t="inlineStr">
        <is>
          <t>SKARA</t>
        </is>
      </c>
      <c r="G1502" t="n">
        <v>4.7</v>
      </c>
      <c r="H1502" t="n">
        <v>0</v>
      </c>
      <c r="I1502" t="n">
        <v>0</v>
      </c>
      <c r="J1502" t="n">
        <v>0</v>
      </c>
      <c r="K1502" t="n">
        <v>0</v>
      </c>
      <c r="L1502" t="n">
        <v>0</v>
      </c>
      <c r="M1502" t="n">
        <v>0</v>
      </c>
      <c r="N1502" t="n">
        <v>0</v>
      </c>
      <c r="O1502" t="n">
        <v>0</v>
      </c>
      <c r="P1502" t="n">
        <v>0</v>
      </c>
      <c r="Q1502" t="n">
        <v>0</v>
      </c>
      <c r="R1502" s="2" t="inlineStr"/>
    </row>
    <row r="1503" ht="15" customHeight="1">
      <c r="A1503" t="inlineStr">
        <is>
          <t>A 3208-2019</t>
        </is>
      </c>
      <c r="B1503" s="1" t="n">
        <v>43473</v>
      </c>
      <c r="C1503" s="1" t="n">
        <v>45227</v>
      </c>
      <c r="D1503" t="inlineStr">
        <is>
          <t>VÄSTRA GÖTALANDS LÄN</t>
        </is>
      </c>
      <c r="E1503" t="inlineStr">
        <is>
          <t>GULLSPÅNG</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1290-2019</t>
        </is>
      </c>
      <c r="B1504" s="1" t="n">
        <v>43473</v>
      </c>
      <c r="C1504" s="1" t="n">
        <v>45227</v>
      </c>
      <c r="D1504" t="inlineStr">
        <is>
          <t>VÄSTRA GÖTALANDS LÄN</t>
        </is>
      </c>
      <c r="E1504" t="inlineStr">
        <is>
          <t>LIDKÖPING</t>
        </is>
      </c>
      <c r="G1504" t="n">
        <v>2.3</v>
      </c>
      <c r="H1504" t="n">
        <v>0</v>
      </c>
      <c r="I1504" t="n">
        <v>0</v>
      </c>
      <c r="J1504" t="n">
        <v>0</v>
      </c>
      <c r="K1504" t="n">
        <v>0</v>
      </c>
      <c r="L1504" t="n">
        <v>0</v>
      </c>
      <c r="M1504" t="n">
        <v>0</v>
      </c>
      <c r="N1504" t="n">
        <v>0</v>
      </c>
      <c r="O1504" t="n">
        <v>0</v>
      </c>
      <c r="P1504" t="n">
        <v>0</v>
      </c>
      <c r="Q1504" t="n">
        <v>0</v>
      </c>
      <c r="R1504" s="2" t="inlineStr"/>
    </row>
    <row r="1505" ht="15" customHeight="1">
      <c r="A1505" t="inlineStr">
        <is>
          <t>A 1386-2019</t>
        </is>
      </c>
      <c r="B1505" s="1" t="n">
        <v>43473</v>
      </c>
      <c r="C1505" s="1" t="n">
        <v>45227</v>
      </c>
      <c r="D1505" t="inlineStr">
        <is>
          <t>VÄSTRA GÖTALANDS LÄN</t>
        </is>
      </c>
      <c r="E1505" t="inlineStr">
        <is>
          <t>SKARA</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1436-2019</t>
        </is>
      </c>
      <c r="B1506" s="1" t="n">
        <v>43473</v>
      </c>
      <c r="C1506" s="1" t="n">
        <v>45227</v>
      </c>
      <c r="D1506" t="inlineStr">
        <is>
          <t>VÄSTRA GÖTALANDS LÄN</t>
        </is>
      </c>
      <c r="E1506" t="inlineStr">
        <is>
          <t>GÖTENE</t>
        </is>
      </c>
      <c r="G1506" t="n">
        <v>6.5</v>
      </c>
      <c r="H1506" t="n">
        <v>0</v>
      </c>
      <c r="I1506" t="n">
        <v>0</v>
      </c>
      <c r="J1506" t="n">
        <v>0</v>
      </c>
      <c r="K1506" t="n">
        <v>0</v>
      </c>
      <c r="L1506" t="n">
        <v>0</v>
      </c>
      <c r="M1506" t="n">
        <v>0</v>
      </c>
      <c r="N1506" t="n">
        <v>0</v>
      </c>
      <c r="O1506" t="n">
        <v>0</v>
      </c>
      <c r="P1506" t="n">
        <v>0</v>
      </c>
      <c r="Q1506" t="n">
        <v>0</v>
      </c>
      <c r="R1506" s="2" t="inlineStr"/>
    </row>
    <row r="1507" ht="15" customHeight="1">
      <c r="A1507" t="inlineStr">
        <is>
          <t>A 3129-2019</t>
        </is>
      </c>
      <c r="B1507" s="1" t="n">
        <v>43473</v>
      </c>
      <c r="C1507" s="1" t="n">
        <v>45227</v>
      </c>
      <c r="D1507" t="inlineStr">
        <is>
          <t>VÄSTRA GÖTALANDS LÄN</t>
        </is>
      </c>
      <c r="E1507" t="inlineStr">
        <is>
          <t>GULLSPÅNG</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1285-2019</t>
        </is>
      </c>
      <c r="B1508" s="1" t="n">
        <v>43473</v>
      </c>
      <c r="C1508" s="1" t="n">
        <v>45227</v>
      </c>
      <c r="D1508" t="inlineStr">
        <is>
          <t>VÄSTRA GÖTALANDS LÄN</t>
        </is>
      </c>
      <c r="E1508" t="inlineStr">
        <is>
          <t>FALKÖPING</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1360-2019</t>
        </is>
      </c>
      <c r="B1509" s="1" t="n">
        <v>43473</v>
      </c>
      <c r="C1509" s="1" t="n">
        <v>45227</v>
      </c>
      <c r="D1509" t="inlineStr">
        <is>
          <t>VÄSTRA GÖTALANDS LÄN</t>
        </is>
      </c>
      <c r="E1509" t="inlineStr">
        <is>
          <t>SKARA</t>
        </is>
      </c>
      <c r="G1509" t="n">
        <v>6</v>
      </c>
      <c r="H1509" t="n">
        <v>0</v>
      </c>
      <c r="I1509" t="n">
        <v>0</v>
      </c>
      <c r="J1509" t="n">
        <v>0</v>
      </c>
      <c r="K1509" t="n">
        <v>0</v>
      </c>
      <c r="L1509" t="n">
        <v>0</v>
      </c>
      <c r="M1509" t="n">
        <v>0</v>
      </c>
      <c r="N1509" t="n">
        <v>0</v>
      </c>
      <c r="O1509" t="n">
        <v>0</v>
      </c>
      <c r="P1509" t="n">
        <v>0</v>
      </c>
      <c r="Q1509" t="n">
        <v>0</v>
      </c>
      <c r="R1509" s="2" t="inlineStr"/>
    </row>
    <row r="1510" ht="15" customHeight="1">
      <c r="A1510" t="inlineStr">
        <is>
          <t>A 1459-2019</t>
        </is>
      </c>
      <c r="B1510" s="1" t="n">
        <v>43473</v>
      </c>
      <c r="C1510" s="1" t="n">
        <v>45227</v>
      </c>
      <c r="D1510" t="inlineStr">
        <is>
          <t>VÄSTRA GÖTALANDS LÄN</t>
        </is>
      </c>
      <c r="E1510" t="inlineStr">
        <is>
          <t>SKARA</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1480-2019</t>
        </is>
      </c>
      <c r="B1511" s="1" t="n">
        <v>43473</v>
      </c>
      <c r="C1511" s="1" t="n">
        <v>45227</v>
      </c>
      <c r="D1511" t="inlineStr">
        <is>
          <t>VÄSTRA GÖTALANDS LÄN</t>
        </is>
      </c>
      <c r="E1511" t="inlineStr">
        <is>
          <t>GRÄSTORP</t>
        </is>
      </c>
      <c r="G1511" t="n">
        <v>1.4</v>
      </c>
      <c r="H1511" t="n">
        <v>0</v>
      </c>
      <c r="I1511" t="n">
        <v>0</v>
      </c>
      <c r="J1511" t="n">
        <v>0</v>
      </c>
      <c r="K1511" t="n">
        <v>0</v>
      </c>
      <c r="L1511" t="n">
        <v>0</v>
      </c>
      <c r="M1511" t="n">
        <v>0</v>
      </c>
      <c r="N1511" t="n">
        <v>0</v>
      </c>
      <c r="O1511" t="n">
        <v>0</v>
      </c>
      <c r="P1511" t="n">
        <v>0</v>
      </c>
      <c r="Q1511" t="n">
        <v>0</v>
      </c>
      <c r="R1511" s="2" t="inlineStr"/>
    </row>
    <row r="1512" ht="15" customHeight="1">
      <c r="A1512" t="inlineStr">
        <is>
          <t>A 1170-2019</t>
        </is>
      </c>
      <c r="B1512" s="1" t="n">
        <v>43473</v>
      </c>
      <c r="C1512" s="1" t="n">
        <v>45227</v>
      </c>
      <c r="D1512" t="inlineStr">
        <is>
          <t>VÄSTRA GÖTALANDS LÄN</t>
        </is>
      </c>
      <c r="E1512" t="inlineStr">
        <is>
          <t>TIBRO</t>
        </is>
      </c>
      <c r="G1512" t="n">
        <v>4.9</v>
      </c>
      <c r="H1512" t="n">
        <v>0</v>
      </c>
      <c r="I1512" t="n">
        <v>0</v>
      </c>
      <c r="J1512" t="n">
        <v>0</v>
      </c>
      <c r="K1512" t="n">
        <v>0</v>
      </c>
      <c r="L1512" t="n">
        <v>0</v>
      </c>
      <c r="M1512" t="n">
        <v>0</v>
      </c>
      <c r="N1512" t="n">
        <v>0</v>
      </c>
      <c r="O1512" t="n">
        <v>0</v>
      </c>
      <c r="P1512" t="n">
        <v>0</v>
      </c>
      <c r="Q1512" t="n">
        <v>0</v>
      </c>
      <c r="R1512" s="2" t="inlineStr"/>
    </row>
    <row r="1513" ht="15" customHeight="1">
      <c r="A1513" t="inlineStr">
        <is>
          <t>A 1369-2019</t>
        </is>
      </c>
      <c r="B1513" s="1" t="n">
        <v>43473</v>
      </c>
      <c r="C1513" s="1" t="n">
        <v>45227</v>
      </c>
      <c r="D1513" t="inlineStr">
        <is>
          <t>VÄSTRA GÖTALANDS LÄN</t>
        </is>
      </c>
      <c r="E1513" t="inlineStr">
        <is>
          <t>SKARA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1432-2019</t>
        </is>
      </c>
      <c r="B1514" s="1" t="n">
        <v>43473</v>
      </c>
      <c r="C1514" s="1" t="n">
        <v>45227</v>
      </c>
      <c r="D1514" t="inlineStr">
        <is>
          <t>VÄSTRA GÖTALANDS LÄN</t>
        </is>
      </c>
      <c r="E1514" t="inlineStr">
        <is>
          <t>GÖTENE</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3237-2019</t>
        </is>
      </c>
      <c r="B1515" s="1" t="n">
        <v>43473</v>
      </c>
      <c r="C1515" s="1" t="n">
        <v>45227</v>
      </c>
      <c r="D1515" t="inlineStr">
        <is>
          <t>VÄSTRA GÖTALANDS LÄN</t>
        </is>
      </c>
      <c r="E1515" t="inlineStr">
        <is>
          <t>ULRICEHAMN</t>
        </is>
      </c>
      <c r="G1515" t="n">
        <v>2.4</v>
      </c>
      <c r="H1515" t="n">
        <v>0</v>
      </c>
      <c r="I1515" t="n">
        <v>0</v>
      </c>
      <c r="J1515" t="n">
        <v>0</v>
      </c>
      <c r="K1515" t="n">
        <v>0</v>
      </c>
      <c r="L1515" t="n">
        <v>0</v>
      </c>
      <c r="M1515" t="n">
        <v>0</v>
      </c>
      <c r="N1515" t="n">
        <v>0</v>
      </c>
      <c r="O1515" t="n">
        <v>0</v>
      </c>
      <c r="P1515" t="n">
        <v>0</v>
      </c>
      <c r="Q1515" t="n">
        <v>0</v>
      </c>
      <c r="R1515" s="2" t="inlineStr"/>
    </row>
    <row r="1516" ht="15" customHeight="1">
      <c r="A1516" t="inlineStr">
        <is>
          <t>A 2434-2019</t>
        </is>
      </c>
      <c r="B1516" s="1" t="n">
        <v>43474</v>
      </c>
      <c r="C1516" s="1" t="n">
        <v>45227</v>
      </c>
      <c r="D1516" t="inlineStr">
        <is>
          <t>VÄSTRA GÖTALANDS LÄN</t>
        </is>
      </c>
      <c r="E1516" t="inlineStr">
        <is>
          <t>TANUM</t>
        </is>
      </c>
      <c r="G1516" t="n">
        <v>2.3</v>
      </c>
      <c r="H1516" t="n">
        <v>0</v>
      </c>
      <c r="I1516" t="n">
        <v>0</v>
      </c>
      <c r="J1516" t="n">
        <v>0</v>
      </c>
      <c r="K1516" t="n">
        <v>0</v>
      </c>
      <c r="L1516" t="n">
        <v>0</v>
      </c>
      <c r="M1516" t="n">
        <v>0</v>
      </c>
      <c r="N1516" t="n">
        <v>0</v>
      </c>
      <c r="O1516" t="n">
        <v>0</v>
      </c>
      <c r="P1516" t="n">
        <v>0</v>
      </c>
      <c r="Q1516" t="n">
        <v>0</v>
      </c>
      <c r="R1516" s="2" t="inlineStr"/>
    </row>
    <row r="1517" ht="15" customHeight="1">
      <c r="A1517" t="inlineStr">
        <is>
          <t>A 1766-2019</t>
        </is>
      </c>
      <c r="B1517" s="1" t="n">
        <v>43474</v>
      </c>
      <c r="C1517" s="1" t="n">
        <v>45227</v>
      </c>
      <c r="D1517" t="inlineStr">
        <is>
          <t>VÄSTRA GÖTALANDS LÄN</t>
        </is>
      </c>
      <c r="E1517" t="inlineStr">
        <is>
          <t>MARIESTAD</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1852-2019</t>
        </is>
      </c>
      <c r="B1518" s="1" t="n">
        <v>43474</v>
      </c>
      <c r="C1518" s="1" t="n">
        <v>45227</v>
      </c>
      <c r="D1518" t="inlineStr">
        <is>
          <t>VÄSTRA GÖTALANDS LÄN</t>
        </is>
      </c>
      <c r="E1518" t="inlineStr">
        <is>
          <t>UDDEVALLA</t>
        </is>
      </c>
      <c r="G1518" t="n">
        <v>3.5</v>
      </c>
      <c r="H1518" t="n">
        <v>0</v>
      </c>
      <c r="I1518" t="n">
        <v>0</v>
      </c>
      <c r="J1518" t="n">
        <v>0</v>
      </c>
      <c r="K1518" t="n">
        <v>0</v>
      </c>
      <c r="L1518" t="n">
        <v>0</v>
      </c>
      <c r="M1518" t="n">
        <v>0</v>
      </c>
      <c r="N1518" t="n">
        <v>0</v>
      </c>
      <c r="O1518" t="n">
        <v>0</v>
      </c>
      <c r="P1518" t="n">
        <v>0</v>
      </c>
      <c r="Q1518" t="n">
        <v>0</v>
      </c>
      <c r="R1518" s="2" t="inlineStr"/>
    </row>
    <row r="1519" ht="15" customHeight="1">
      <c r="A1519" t="inlineStr">
        <is>
          <t>A 1884-2019</t>
        </is>
      </c>
      <c r="B1519" s="1" t="n">
        <v>43474</v>
      </c>
      <c r="C1519" s="1" t="n">
        <v>45227</v>
      </c>
      <c r="D1519" t="inlineStr">
        <is>
          <t>VÄSTRA GÖTALANDS LÄN</t>
        </is>
      </c>
      <c r="E1519" t="inlineStr">
        <is>
          <t>ÅMÅL</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3487-2019</t>
        </is>
      </c>
      <c r="B1520" s="1" t="n">
        <v>43474</v>
      </c>
      <c r="C1520" s="1" t="n">
        <v>45227</v>
      </c>
      <c r="D1520" t="inlineStr">
        <is>
          <t>VÄSTRA GÖTALANDS LÄN</t>
        </is>
      </c>
      <c r="E1520" t="inlineStr">
        <is>
          <t>STRÖMSTAD</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1551-2019</t>
        </is>
      </c>
      <c r="B1521" s="1" t="n">
        <v>43474</v>
      </c>
      <c r="C1521" s="1" t="n">
        <v>45227</v>
      </c>
      <c r="D1521" t="inlineStr">
        <is>
          <t>VÄSTRA GÖTALANDS LÄN</t>
        </is>
      </c>
      <c r="E1521" t="inlineStr">
        <is>
          <t>MARK</t>
        </is>
      </c>
      <c r="G1521" t="n">
        <v>8</v>
      </c>
      <c r="H1521" t="n">
        <v>0</v>
      </c>
      <c r="I1521" t="n">
        <v>0</v>
      </c>
      <c r="J1521" t="n">
        <v>0</v>
      </c>
      <c r="K1521" t="n">
        <v>0</v>
      </c>
      <c r="L1521" t="n">
        <v>0</v>
      </c>
      <c r="M1521" t="n">
        <v>0</v>
      </c>
      <c r="N1521" t="n">
        <v>0</v>
      </c>
      <c r="O1521" t="n">
        <v>0</v>
      </c>
      <c r="P1521" t="n">
        <v>0</v>
      </c>
      <c r="Q1521" t="n">
        <v>0</v>
      </c>
      <c r="R1521" s="2" t="inlineStr"/>
    </row>
    <row r="1522" ht="15" customHeight="1">
      <c r="A1522" t="inlineStr">
        <is>
          <t>A 1640-2019</t>
        </is>
      </c>
      <c r="B1522" s="1" t="n">
        <v>43474</v>
      </c>
      <c r="C1522" s="1" t="n">
        <v>45227</v>
      </c>
      <c r="D1522" t="inlineStr">
        <is>
          <t>VÄSTRA GÖTALANDS LÄN</t>
        </is>
      </c>
      <c r="E1522" t="inlineStr">
        <is>
          <t>LERUM</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1677-2019</t>
        </is>
      </c>
      <c r="B1523" s="1" t="n">
        <v>43474</v>
      </c>
      <c r="C1523" s="1" t="n">
        <v>45227</v>
      </c>
      <c r="D1523" t="inlineStr">
        <is>
          <t>VÄSTRA GÖTALANDS LÄN</t>
        </is>
      </c>
      <c r="E1523" t="inlineStr">
        <is>
          <t>TÖREBODA</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1698-2019</t>
        </is>
      </c>
      <c r="B1524" s="1" t="n">
        <v>43474</v>
      </c>
      <c r="C1524" s="1" t="n">
        <v>45227</v>
      </c>
      <c r="D1524" t="inlineStr">
        <is>
          <t>VÄSTRA GÖTALANDS LÄN</t>
        </is>
      </c>
      <c r="E1524" t="inlineStr">
        <is>
          <t>TÖREBODA</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1733-2019</t>
        </is>
      </c>
      <c r="B1525" s="1" t="n">
        <v>43474</v>
      </c>
      <c r="C1525" s="1" t="n">
        <v>45227</v>
      </c>
      <c r="D1525" t="inlineStr">
        <is>
          <t>VÄSTRA GÖTALANDS LÄN</t>
        </is>
      </c>
      <c r="E1525" t="inlineStr">
        <is>
          <t>STRÖMSTAD</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1760-2019</t>
        </is>
      </c>
      <c r="B1526" s="1" t="n">
        <v>43474</v>
      </c>
      <c r="C1526" s="1" t="n">
        <v>45227</v>
      </c>
      <c r="D1526" t="inlineStr">
        <is>
          <t>VÄSTRA GÖTALANDS LÄN</t>
        </is>
      </c>
      <c r="E1526" t="inlineStr">
        <is>
          <t>MARIESTAD</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1774-2019</t>
        </is>
      </c>
      <c r="B1527" s="1" t="n">
        <v>43474</v>
      </c>
      <c r="C1527" s="1" t="n">
        <v>45227</v>
      </c>
      <c r="D1527" t="inlineStr">
        <is>
          <t>VÄSTRA GÖTALANDS LÄN</t>
        </is>
      </c>
      <c r="E1527" t="inlineStr">
        <is>
          <t>TANUM</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1787-2019</t>
        </is>
      </c>
      <c r="B1528" s="1" t="n">
        <v>43474</v>
      </c>
      <c r="C1528" s="1" t="n">
        <v>45227</v>
      </c>
      <c r="D1528" t="inlineStr">
        <is>
          <t>VÄSTRA GÖTALANDS LÄN</t>
        </is>
      </c>
      <c r="E1528" t="inlineStr">
        <is>
          <t>TRANEMO</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1795-2019</t>
        </is>
      </c>
      <c r="B1529" s="1" t="n">
        <v>43474</v>
      </c>
      <c r="C1529" s="1" t="n">
        <v>45227</v>
      </c>
      <c r="D1529" t="inlineStr">
        <is>
          <t>VÄSTRA GÖTALANDS LÄN</t>
        </is>
      </c>
      <c r="E1529" t="inlineStr">
        <is>
          <t>BENGTSFORS</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1850-2019</t>
        </is>
      </c>
      <c r="B1530" s="1" t="n">
        <v>43474</v>
      </c>
      <c r="C1530" s="1" t="n">
        <v>45227</v>
      </c>
      <c r="D1530" t="inlineStr">
        <is>
          <t>VÄSTRA GÖTALANDS LÄN</t>
        </is>
      </c>
      <c r="E1530" t="inlineStr">
        <is>
          <t>TROLLHÄTTAN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3476-2019</t>
        </is>
      </c>
      <c r="B1531" s="1" t="n">
        <v>43474</v>
      </c>
      <c r="C1531" s="1" t="n">
        <v>45227</v>
      </c>
      <c r="D1531" t="inlineStr">
        <is>
          <t>VÄSTRA GÖTALANDS LÄN</t>
        </is>
      </c>
      <c r="E1531" t="inlineStr">
        <is>
          <t>FÄRGELANDA</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3525-2019</t>
        </is>
      </c>
      <c r="B1532" s="1" t="n">
        <v>43474</v>
      </c>
      <c r="C1532" s="1" t="n">
        <v>45227</v>
      </c>
      <c r="D1532" t="inlineStr">
        <is>
          <t>VÄSTRA GÖTALANDS LÄN</t>
        </is>
      </c>
      <c r="E1532" t="inlineStr">
        <is>
          <t>ALINGSÅS</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1566-2019</t>
        </is>
      </c>
      <c r="B1533" s="1" t="n">
        <v>43474</v>
      </c>
      <c r="C1533" s="1" t="n">
        <v>45227</v>
      </c>
      <c r="D1533" t="inlineStr">
        <is>
          <t>VÄSTRA GÖTALANDS LÄN</t>
        </is>
      </c>
      <c r="E1533" t="inlineStr">
        <is>
          <t>MARK</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1749-2019</t>
        </is>
      </c>
      <c r="B1534" s="1" t="n">
        <v>43474</v>
      </c>
      <c r="C1534" s="1" t="n">
        <v>45227</v>
      </c>
      <c r="D1534" t="inlineStr">
        <is>
          <t>VÄSTRA GÖTALANDS LÄN</t>
        </is>
      </c>
      <c r="E1534" t="inlineStr">
        <is>
          <t>BENGTSFORS</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1786-2019</t>
        </is>
      </c>
      <c r="B1535" s="1" t="n">
        <v>43474</v>
      </c>
      <c r="C1535" s="1" t="n">
        <v>45227</v>
      </c>
      <c r="D1535" t="inlineStr">
        <is>
          <t>VÄSTRA GÖTALANDS LÄN</t>
        </is>
      </c>
      <c r="E1535" t="inlineStr">
        <is>
          <t>MARK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1824-2019</t>
        </is>
      </c>
      <c r="B1536" s="1" t="n">
        <v>43474</v>
      </c>
      <c r="C1536" s="1" t="n">
        <v>45227</v>
      </c>
      <c r="D1536" t="inlineStr">
        <is>
          <t>VÄSTRA GÖTALANDS LÄN</t>
        </is>
      </c>
      <c r="E1536" t="inlineStr">
        <is>
          <t>TRANEMO</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1857-2019</t>
        </is>
      </c>
      <c r="B1537" s="1" t="n">
        <v>43474</v>
      </c>
      <c r="C1537" s="1" t="n">
        <v>45227</v>
      </c>
      <c r="D1537" t="inlineStr">
        <is>
          <t>VÄSTRA GÖTALANDS LÄN</t>
        </is>
      </c>
      <c r="E1537" t="inlineStr">
        <is>
          <t>BORÅS</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3471-2019</t>
        </is>
      </c>
      <c r="B1538" s="1" t="n">
        <v>43474</v>
      </c>
      <c r="C1538" s="1" t="n">
        <v>45227</v>
      </c>
      <c r="D1538" t="inlineStr">
        <is>
          <t>VÄSTRA GÖTALANDS LÄN</t>
        </is>
      </c>
      <c r="E1538" t="inlineStr">
        <is>
          <t>STRÖMSTAD</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1720-2019</t>
        </is>
      </c>
      <c r="B1539" s="1" t="n">
        <v>43474</v>
      </c>
      <c r="C1539" s="1" t="n">
        <v>45227</v>
      </c>
      <c r="D1539" t="inlineStr">
        <is>
          <t>VÄSTRA GÖTALANDS LÄN</t>
        </is>
      </c>
      <c r="E1539" t="inlineStr">
        <is>
          <t>TRANEMO</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1735-2019</t>
        </is>
      </c>
      <c r="B1540" s="1" t="n">
        <v>43474</v>
      </c>
      <c r="C1540" s="1" t="n">
        <v>45227</v>
      </c>
      <c r="D1540" t="inlineStr">
        <is>
          <t>VÄSTRA GÖTALANDS LÄN</t>
        </is>
      </c>
      <c r="E1540" t="inlineStr">
        <is>
          <t>TIDAHOLM</t>
        </is>
      </c>
      <c r="G1540" t="n">
        <v>4.5</v>
      </c>
      <c r="H1540" t="n">
        <v>0</v>
      </c>
      <c r="I1540" t="n">
        <v>0</v>
      </c>
      <c r="J1540" t="n">
        <v>0</v>
      </c>
      <c r="K1540" t="n">
        <v>0</v>
      </c>
      <c r="L1540" t="n">
        <v>0</v>
      </c>
      <c r="M1540" t="n">
        <v>0</v>
      </c>
      <c r="N1540" t="n">
        <v>0</v>
      </c>
      <c r="O1540" t="n">
        <v>0</v>
      </c>
      <c r="P1540" t="n">
        <v>0</v>
      </c>
      <c r="Q1540" t="n">
        <v>0</v>
      </c>
      <c r="R1540" s="2" t="inlineStr"/>
    </row>
    <row r="1541" ht="15" customHeight="1">
      <c r="A1541" t="inlineStr">
        <is>
          <t>A 1753-2019</t>
        </is>
      </c>
      <c r="B1541" s="1" t="n">
        <v>43474</v>
      </c>
      <c r="C1541" s="1" t="n">
        <v>45227</v>
      </c>
      <c r="D1541" t="inlineStr">
        <is>
          <t>VÄSTRA GÖTALANDS LÄN</t>
        </is>
      </c>
      <c r="E1541" t="inlineStr">
        <is>
          <t>BENGTSFORS</t>
        </is>
      </c>
      <c r="G1541" t="n">
        <v>3.1</v>
      </c>
      <c r="H1541" t="n">
        <v>0</v>
      </c>
      <c r="I1541" t="n">
        <v>0</v>
      </c>
      <c r="J1541" t="n">
        <v>0</v>
      </c>
      <c r="K1541" t="n">
        <v>0</v>
      </c>
      <c r="L1541" t="n">
        <v>0</v>
      </c>
      <c r="M1541" t="n">
        <v>0</v>
      </c>
      <c r="N1541" t="n">
        <v>0</v>
      </c>
      <c r="O1541" t="n">
        <v>0</v>
      </c>
      <c r="P1541" t="n">
        <v>0</v>
      </c>
      <c r="Q1541" t="n">
        <v>0</v>
      </c>
      <c r="R1541" s="2" t="inlineStr"/>
    </row>
    <row r="1542" ht="15" customHeight="1">
      <c r="A1542" t="inlineStr">
        <is>
          <t>A 1791-2019</t>
        </is>
      </c>
      <c r="B1542" s="1" t="n">
        <v>43474</v>
      </c>
      <c r="C1542" s="1" t="n">
        <v>45227</v>
      </c>
      <c r="D1542" t="inlineStr">
        <is>
          <t>VÄSTRA GÖTALANDS LÄN</t>
        </is>
      </c>
      <c r="E1542" t="inlineStr">
        <is>
          <t>LIDKÖPING</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1832-2019</t>
        </is>
      </c>
      <c r="B1543" s="1" t="n">
        <v>43474</v>
      </c>
      <c r="C1543" s="1" t="n">
        <v>45227</v>
      </c>
      <c r="D1543" t="inlineStr">
        <is>
          <t>VÄSTRA GÖTALANDS LÄN</t>
        </is>
      </c>
      <c r="E1543" t="inlineStr">
        <is>
          <t>TROLLHÄTTAN</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1844-2019</t>
        </is>
      </c>
      <c r="B1544" s="1" t="n">
        <v>43474</v>
      </c>
      <c r="C1544" s="1" t="n">
        <v>45227</v>
      </c>
      <c r="D1544" t="inlineStr">
        <is>
          <t>VÄSTRA GÖTALANDS LÄN</t>
        </is>
      </c>
      <c r="E1544" t="inlineStr">
        <is>
          <t>TJÖRN</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1855-2019</t>
        </is>
      </c>
      <c r="B1545" s="1" t="n">
        <v>43474</v>
      </c>
      <c r="C1545" s="1" t="n">
        <v>45227</v>
      </c>
      <c r="D1545" t="inlineStr">
        <is>
          <t>VÄSTRA GÖTALANDS LÄN</t>
        </is>
      </c>
      <c r="E1545" t="inlineStr">
        <is>
          <t>LILLA EDET</t>
        </is>
      </c>
      <c r="G1545" t="n">
        <v>1.7</v>
      </c>
      <c r="H1545" t="n">
        <v>0</v>
      </c>
      <c r="I1545" t="n">
        <v>0</v>
      </c>
      <c r="J1545" t="n">
        <v>0</v>
      </c>
      <c r="K1545" t="n">
        <v>0</v>
      </c>
      <c r="L1545" t="n">
        <v>0</v>
      </c>
      <c r="M1545" t="n">
        <v>0</v>
      </c>
      <c r="N1545" t="n">
        <v>0</v>
      </c>
      <c r="O1545" t="n">
        <v>0</v>
      </c>
      <c r="P1545" t="n">
        <v>0</v>
      </c>
      <c r="Q1545" t="n">
        <v>0</v>
      </c>
      <c r="R1545" s="2" t="inlineStr"/>
    </row>
    <row r="1546" ht="15" customHeight="1">
      <c r="A1546" t="inlineStr">
        <is>
          <t>A 1962-2019</t>
        </is>
      </c>
      <c r="B1546" s="1" t="n">
        <v>43475</v>
      </c>
      <c r="C1546" s="1" t="n">
        <v>45227</v>
      </c>
      <c r="D1546" t="inlineStr">
        <is>
          <t>VÄSTRA GÖTALANDS LÄN</t>
        </is>
      </c>
      <c r="E1546" t="inlineStr">
        <is>
          <t>DALS-ED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2013-2019</t>
        </is>
      </c>
      <c r="B1547" s="1" t="n">
        <v>43475</v>
      </c>
      <c r="C1547" s="1" t="n">
        <v>45227</v>
      </c>
      <c r="D1547" t="inlineStr">
        <is>
          <t>VÄSTRA GÖTALANDS LÄN</t>
        </is>
      </c>
      <c r="E1547" t="inlineStr">
        <is>
          <t>ESSUNGA</t>
        </is>
      </c>
      <c r="G1547" t="n">
        <v>8.9</v>
      </c>
      <c r="H1547" t="n">
        <v>0</v>
      </c>
      <c r="I1547" t="n">
        <v>0</v>
      </c>
      <c r="J1547" t="n">
        <v>0</v>
      </c>
      <c r="K1547" t="n">
        <v>0</v>
      </c>
      <c r="L1547" t="n">
        <v>0</v>
      </c>
      <c r="M1547" t="n">
        <v>0</v>
      </c>
      <c r="N1547" t="n">
        <v>0</v>
      </c>
      <c r="O1547" t="n">
        <v>0</v>
      </c>
      <c r="P1547" t="n">
        <v>0</v>
      </c>
      <c r="Q1547" t="n">
        <v>0</v>
      </c>
      <c r="R1547" s="2" t="inlineStr"/>
    </row>
    <row r="1548" ht="15" customHeight="1">
      <c r="A1548" t="inlineStr">
        <is>
          <t>A 2244-2019</t>
        </is>
      </c>
      <c r="B1548" s="1" t="n">
        <v>43475</v>
      </c>
      <c r="C1548" s="1" t="n">
        <v>45227</v>
      </c>
      <c r="D1548" t="inlineStr">
        <is>
          <t>VÄSTRA GÖTALANDS LÄN</t>
        </is>
      </c>
      <c r="E1548" t="inlineStr">
        <is>
          <t>VARA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2267-2019</t>
        </is>
      </c>
      <c r="B1549" s="1" t="n">
        <v>43475</v>
      </c>
      <c r="C1549" s="1" t="n">
        <v>45227</v>
      </c>
      <c r="D1549" t="inlineStr">
        <is>
          <t>VÄSTRA GÖTALANDS LÄN</t>
        </is>
      </c>
      <c r="E1549" t="inlineStr">
        <is>
          <t>ULRICEHAMN</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3708-2019</t>
        </is>
      </c>
      <c r="B1550" s="1" t="n">
        <v>43475</v>
      </c>
      <c r="C1550" s="1" t="n">
        <v>45227</v>
      </c>
      <c r="D1550" t="inlineStr">
        <is>
          <t>VÄSTRA GÖTALANDS LÄN</t>
        </is>
      </c>
      <c r="E1550" t="inlineStr">
        <is>
          <t>STENUNGSUND</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3972-2019</t>
        </is>
      </c>
      <c r="B1551" s="1" t="n">
        <v>43475</v>
      </c>
      <c r="C1551" s="1" t="n">
        <v>45227</v>
      </c>
      <c r="D1551" t="inlineStr">
        <is>
          <t>VÄSTRA GÖTALANDS LÄN</t>
        </is>
      </c>
      <c r="E1551" t="inlineStr">
        <is>
          <t>TANUM</t>
        </is>
      </c>
      <c r="F1551" t="inlineStr">
        <is>
          <t>Kyrkan</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1961-2019</t>
        </is>
      </c>
      <c r="B1552" s="1" t="n">
        <v>43475</v>
      </c>
      <c r="C1552" s="1" t="n">
        <v>45227</v>
      </c>
      <c r="D1552" t="inlineStr">
        <is>
          <t>VÄSTRA GÖTALANDS LÄN</t>
        </is>
      </c>
      <c r="E1552" t="inlineStr">
        <is>
          <t>GRÄSTORP</t>
        </is>
      </c>
      <c r="F1552" t="inlineStr">
        <is>
          <t>Kyrkan</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1999-2019</t>
        </is>
      </c>
      <c r="B1553" s="1" t="n">
        <v>43475</v>
      </c>
      <c r="C1553" s="1" t="n">
        <v>45227</v>
      </c>
      <c r="D1553" t="inlineStr">
        <is>
          <t>VÄSTRA GÖTALANDS LÄN</t>
        </is>
      </c>
      <c r="E1553" t="inlineStr">
        <is>
          <t>SVENLJUNGA</t>
        </is>
      </c>
      <c r="G1553" t="n">
        <v>12.8</v>
      </c>
      <c r="H1553" t="n">
        <v>0</v>
      </c>
      <c r="I1553" t="n">
        <v>0</v>
      </c>
      <c r="J1553" t="n">
        <v>0</v>
      </c>
      <c r="K1553" t="n">
        <v>0</v>
      </c>
      <c r="L1553" t="n">
        <v>0</v>
      </c>
      <c r="M1553" t="n">
        <v>0</v>
      </c>
      <c r="N1553" t="n">
        <v>0</v>
      </c>
      <c r="O1553" t="n">
        <v>0</v>
      </c>
      <c r="P1553" t="n">
        <v>0</v>
      </c>
      <c r="Q1553" t="n">
        <v>0</v>
      </c>
      <c r="R1553" s="2" t="inlineStr"/>
    </row>
    <row r="1554" ht="15" customHeight="1">
      <c r="A1554" t="inlineStr">
        <is>
          <t>A 2030-2019</t>
        </is>
      </c>
      <c r="B1554" s="1" t="n">
        <v>43475</v>
      </c>
      <c r="C1554" s="1" t="n">
        <v>45227</v>
      </c>
      <c r="D1554" t="inlineStr">
        <is>
          <t>VÄSTRA GÖTALANDS LÄN</t>
        </is>
      </c>
      <c r="E1554" t="inlineStr">
        <is>
          <t>MUNKEDAL</t>
        </is>
      </c>
      <c r="G1554" t="n">
        <v>7.5</v>
      </c>
      <c r="H1554" t="n">
        <v>0</v>
      </c>
      <c r="I1554" t="n">
        <v>0</v>
      </c>
      <c r="J1554" t="n">
        <v>0</v>
      </c>
      <c r="K1554" t="n">
        <v>0</v>
      </c>
      <c r="L1554" t="n">
        <v>0</v>
      </c>
      <c r="M1554" t="n">
        <v>0</v>
      </c>
      <c r="N1554" t="n">
        <v>0</v>
      </c>
      <c r="O1554" t="n">
        <v>0</v>
      </c>
      <c r="P1554" t="n">
        <v>0</v>
      </c>
      <c r="Q1554" t="n">
        <v>0</v>
      </c>
      <c r="R1554" s="2" t="inlineStr"/>
    </row>
    <row r="1555" ht="15" customHeight="1">
      <c r="A1555" t="inlineStr">
        <is>
          <t>A 2116-2019</t>
        </is>
      </c>
      <c r="B1555" s="1" t="n">
        <v>43475</v>
      </c>
      <c r="C1555" s="1" t="n">
        <v>45227</v>
      </c>
      <c r="D1555" t="inlineStr">
        <is>
          <t>VÄSTRA GÖTALANDS LÄN</t>
        </is>
      </c>
      <c r="E1555" t="inlineStr">
        <is>
          <t>BENGTSFORS</t>
        </is>
      </c>
      <c r="G1555" t="n">
        <v>9</v>
      </c>
      <c r="H1555" t="n">
        <v>0</v>
      </c>
      <c r="I1555" t="n">
        <v>0</v>
      </c>
      <c r="J1555" t="n">
        <v>0</v>
      </c>
      <c r="K1555" t="n">
        <v>0</v>
      </c>
      <c r="L1555" t="n">
        <v>0</v>
      </c>
      <c r="M1555" t="n">
        <v>0</v>
      </c>
      <c r="N1555" t="n">
        <v>0</v>
      </c>
      <c r="O1555" t="n">
        <v>0</v>
      </c>
      <c r="P1555" t="n">
        <v>0</v>
      </c>
      <c r="Q1555" t="n">
        <v>0</v>
      </c>
      <c r="R1555" s="2" t="inlineStr"/>
    </row>
    <row r="1556" ht="15" customHeight="1">
      <c r="A1556" t="inlineStr">
        <is>
          <t>A 2149-2019</t>
        </is>
      </c>
      <c r="B1556" s="1" t="n">
        <v>43475</v>
      </c>
      <c r="C1556" s="1" t="n">
        <v>45227</v>
      </c>
      <c r="D1556" t="inlineStr">
        <is>
          <t>VÄSTRA GÖTALANDS LÄN</t>
        </is>
      </c>
      <c r="E1556" t="inlineStr">
        <is>
          <t>ALE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2253-2019</t>
        </is>
      </c>
      <c r="B1557" s="1" t="n">
        <v>43475</v>
      </c>
      <c r="C1557" s="1" t="n">
        <v>45227</v>
      </c>
      <c r="D1557" t="inlineStr">
        <is>
          <t>VÄSTRA GÖTALANDS LÄN</t>
        </is>
      </c>
      <c r="E1557" t="inlineStr">
        <is>
          <t>VARA</t>
        </is>
      </c>
      <c r="G1557" t="n">
        <v>3.5</v>
      </c>
      <c r="H1557" t="n">
        <v>0</v>
      </c>
      <c r="I1557" t="n">
        <v>0</v>
      </c>
      <c r="J1557" t="n">
        <v>0</v>
      </c>
      <c r="K1557" t="n">
        <v>0</v>
      </c>
      <c r="L1557" t="n">
        <v>0</v>
      </c>
      <c r="M1557" t="n">
        <v>0</v>
      </c>
      <c r="N1557" t="n">
        <v>0</v>
      </c>
      <c r="O1557" t="n">
        <v>0</v>
      </c>
      <c r="P1557" t="n">
        <v>0</v>
      </c>
      <c r="Q1557" t="n">
        <v>0</v>
      </c>
      <c r="R1557" s="2" t="inlineStr"/>
    </row>
    <row r="1558" ht="15" customHeight="1">
      <c r="A1558" t="inlineStr">
        <is>
          <t>A 2272-2019</t>
        </is>
      </c>
      <c r="B1558" s="1" t="n">
        <v>43475</v>
      </c>
      <c r="C1558" s="1" t="n">
        <v>45227</v>
      </c>
      <c r="D1558" t="inlineStr">
        <is>
          <t>VÄSTRA GÖTALANDS LÄN</t>
        </is>
      </c>
      <c r="E1558" t="inlineStr">
        <is>
          <t>DALS-ED</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3597-2019</t>
        </is>
      </c>
      <c r="B1559" s="1" t="n">
        <v>43475</v>
      </c>
      <c r="C1559" s="1" t="n">
        <v>45227</v>
      </c>
      <c r="D1559" t="inlineStr">
        <is>
          <t>VÄSTRA GÖTALANDS LÄN</t>
        </is>
      </c>
      <c r="E1559" t="inlineStr">
        <is>
          <t>VÄNERSBORG</t>
        </is>
      </c>
      <c r="G1559" t="n">
        <v>2.3</v>
      </c>
      <c r="H1559" t="n">
        <v>0</v>
      </c>
      <c r="I1559" t="n">
        <v>0</v>
      </c>
      <c r="J1559" t="n">
        <v>0</v>
      </c>
      <c r="K1559" t="n">
        <v>0</v>
      </c>
      <c r="L1559" t="n">
        <v>0</v>
      </c>
      <c r="M1559" t="n">
        <v>0</v>
      </c>
      <c r="N1559" t="n">
        <v>0</v>
      </c>
      <c r="O1559" t="n">
        <v>0</v>
      </c>
      <c r="P1559" t="n">
        <v>0</v>
      </c>
      <c r="Q1559" t="n">
        <v>0</v>
      </c>
      <c r="R1559" s="2" t="inlineStr"/>
    </row>
    <row r="1560" ht="15" customHeight="1">
      <c r="A1560" t="inlineStr">
        <is>
          <t>A 3679-2019</t>
        </is>
      </c>
      <c r="B1560" s="1" t="n">
        <v>43475</v>
      </c>
      <c r="C1560" s="1" t="n">
        <v>45227</v>
      </c>
      <c r="D1560" t="inlineStr">
        <is>
          <t>VÄSTRA GÖTALANDS LÄN</t>
        </is>
      </c>
      <c r="E1560" t="inlineStr">
        <is>
          <t>FALKÖPING</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1940-2019</t>
        </is>
      </c>
      <c r="B1561" s="1" t="n">
        <v>43475</v>
      </c>
      <c r="C1561" s="1" t="n">
        <v>45227</v>
      </c>
      <c r="D1561" t="inlineStr">
        <is>
          <t>VÄSTRA GÖTALANDS LÄN</t>
        </is>
      </c>
      <c r="E1561" t="inlineStr">
        <is>
          <t>DALS-ED</t>
        </is>
      </c>
      <c r="G1561" t="n">
        <v>1.6</v>
      </c>
      <c r="H1561" t="n">
        <v>0</v>
      </c>
      <c r="I1561" t="n">
        <v>0</v>
      </c>
      <c r="J1561" t="n">
        <v>0</v>
      </c>
      <c r="K1561" t="n">
        <v>0</v>
      </c>
      <c r="L1561" t="n">
        <v>0</v>
      </c>
      <c r="M1561" t="n">
        <v>0</v>
      </c>
      <c r="N1561" t="n">
        <v>0</v>
      </c>
      <c r="O1561" t="n">
        <v>0</v>
      </c>
      <c r="P1561" t="n">
        <v>0</v>
      </c>
      <c r="Q1561" t="n">
        <v>0</v>
      </c>
      <c r="R1561" s="2" t="inlineStr"/>
    </row>
    <row r="1562" ht="15" customHeight="1">
      <c r="A1562" t="inlineStr">
        <is>
          <t>A 1953-2019</t>
        </is>
      </c>
      <c r="B1562" s="1" t="n">
        <v>43475</v>
      </c>
      <c r="C1562" s="1" t="n">
        <v>45227</v>
      </c>
      <c r="D1562" t="inlineStr">
        <is>
          <t>VÄSTRA GÖTALANDS LÄN</t>
        </is>
      </c>
      <c r="E1562" t="inlineStr">
        <is>
          <t>SKÖVDE</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1966-2019</t>
        </is>
      </c>
      <c r="B1563" s="1" t="n">
        <v>43475</v>
      </c>
      <c r="C1563" s="1" t="n">
        <v>45227</v>
      </c>
      <c r="D1563" t="inlineStr">
        <is>
          <t>VÄSTRA GÖTALANDS LÄN</t>
        </is>
      </c>
      <c r="E1563" t="inlineStr">
        <is>
          <t>ULRICEHAMN</t>
        </is>
      </c>
      <c r="G1563" t="n">
        <v>0.3</v>
      </c>
      <c r="H1563" t="n">
        <v>0</v>
      </c>
      <c r="I1563" t="n">
        <v>0</v>
      </c>
      <c r="J1563" t="n">
        <v>0</v>
      </c>
      <c r="K1563" t="n">
        <v>0</v>
      </c>
      <c r="L1563" t="n">
        <v>0</v>
      </c>
      <c r="M1563" t="n">
        <v>0</v>
      </c>
      <c r="N1563" t="n">
        <v>0</v>
      </c>
      <c r="O1563" t="n">
        <v>0</v>
      </c>
      <c r="P1563" t="n">
        <v>0</v>
      </c>
      <c r="Q1563" t="n">
        <v>0</v>
      </c>
      <c r="R1563" s="2" t="inlineStr"/>
    </row>
    <row r="1564" ht="15" customHeight="1">
      <c r="A1564" t="inlineStr">
        <is>
          <t>A 2091-2019</t>
        </is>
      </c>
      <c r="B1564" s="1" t="n">
        <v>43475</v>
      </c>
      <c r="C1564" s="1" t="n">
        <v>45227</v>
      </c>
      <c r="D1564" t="inlineStr">
        <is>
          <t>VÄSTRA GÖTALANDS LÄN</t>
        </is>
      </c>
      <c r="E1564" t="inlineStr">
        <is>
          <t>BENGTSFORS</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2245-2019</t>
        </is>
      </c>
      <c r="B1565" s="1" t="n">
        <v>43475</v>
      </c>
      <c r="C1565" s="1" t="n">
        <v>45227</v>
      </c>
      <c r="D1565" t="inlineStr">
        <is>
          <t>VÄSTRA GÖTALANDS LÄN</t>
        </is>
      </c>
      <c r="E1565" t="inlineStr">
        <is>
          <t>VARA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2366-2019</t>
        </is>
      </c>
      <c r="B1566" s="1" t="n">
        <v>43476</v>
      </c>
      <c r="C1566" s="1" t="n">
        <v>45227</v>
      </c>
      <c r="D1566" t="inlineStr">
        <is>
          <t>VÄSTRA GÖTALANDS LÄN</t>
        </is>
      </c>
      <c r="E1566" t="inlineStr">
        <is>
          <t>TÖREBODA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2376-2019</t>
        </is>
      </c>
      <c r="B1567" s="1" t="n">
        <v>43476</v>
      </c>
      <c r="C1567" s="1" t="n">
        <v>45227</v>
      </c>
      <c r="D1567" t="inlineStr">
        <is>
          <t>VÄSTRA GÖTALANDS LÄN</t>
        </is>
      </c>
      <c r="E1567" t="inlineStr">
        <is>
          <t>TÖREBODA</t>
        </is>
      </c>
      <c r="G1567" t="n">
        <v>3</v>
      </c>
      <c r="H1567" t="n">
        <v>0</v>
      </c>
      <c r="I1567" t="n">
        <v>0</v>
      </c>
      <c r="J1567" t="n">
        <v>0</v>
      </c>
      <c r="K1567" t="n">
        <v>0</v>
      </c>
      <c r="L1567" t="n">
        <v>0</v>
      </c>
      <c r="M1567" t="n">
        <v>0</v>
      </c>
      <c r="N1567" t="n">
        <v>0</v>
      </c>
      <c r="O1567" t="n">
        <v>0</v>
      </c>
      <c r="P1567" t="n">
        <v>0</v>
      </c>
      <c r="Q1567" t="n">
        <v>0</v>
      </c>
      <c r="R1567" s="2" t="inlineStr"/>
    </row>
    <row r="1568" ht="15" customHeight="1">
      <c r="A1568" t="inlineStr">
        <is>
          <t>A 4241-2019</t>
        </is>
      </c>
      <c r="B1568" s="1" t="n">
        <v>43476</v>
      </c>
      <c r="C1568" s="1" t="n">
        <v>45227</v>
      </c>
      <c r="D1568" t="inlineStr">
        <is>
          <t>VÄSTRA GÖTALANDS LÄN</t>
        </is>
      </c>
      <c r="E1568" t="inlineStr">
        <is>
          <t>TANUM</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4321-2019</t>
        </is>
      </c>
      <c r="B1569" s="1" t="n">
        <v>43476</v>
      </c>
      <c r="C1569" s="1" t="n">
        <v>45227</v>
      </c>
      <c r="D1569" t="inlineStr">
        <is>
          <t>VÄSTRA GÖTALANDS LÄN</t>
        </is>
      </c>
      <c r="E1569" t="inlineStr">
        <is>
          <t>DALS-ED</t>
        </is>
      </c>
      <c r="F1569" t="inlineStr">
        <is>
          <t>Bergvik skog väst AB</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2490-2019</t>
        </is>
      </c>
      <c r="B1570" s="1" t="n">
        <v>43476</v>
      </c>
      <c r="C1570" s="1" t="n">
        <v>45227</v>
      </c>
      <c r="D1570" t="inlineStr">
        <is>
          <t>VÄSTRA GÖTALANDS LÄN</t>
        </is>
      </c>
      <c r="E1570" t="inlineStr">
        <is>
          <t>STENUNGSUND</t>
        </is>
      </c>
      <c r="G1570" t="n">
        <v>5</v>
      </c>
      <c r="H1570" t="n">
        <v>0</v>
      </c>
      <c r="I1570" t="n">
        <v>0</v>
      </c>
      <c r="J1570" t="n">
        <v>0</v>
      </c>
      <c r="K1570" t="n">
        <v>0</v>
      </c>
      <c r="L1570" t="n">
        <v>0</v>
      </c>
      <c r="M1570" t="n">
        <v>0</v>
      </c>
      <c r="N1570" t="n">
        <v>0</v>
      </c>
      <c r="O1570" t="n">
        <v>0</v>
      </c>
      <c r="P1570" t="n">
        <v>0</v>
      </c>
      <c r="Q1570" t="n">
        <v>0</v>
      </c>
      <c r="R1570" s="2" t="inlineStr"/>
    </row>
    <row r="1571" ht="15" customHeight="1">
      <c r="A1571" t="inlineStr">
        <is>
          <t>A 2564-2019</t>
        </is>
      </c>
      <c r="B1571" s="1" t="n">
        <v>43476</v>
      </c>
      <c r="C1571" s="1" t="n">
        <v>45227</v>
      </c>
      <c r="D1571" t="inlineStr">
        <is>
          <t>VÄSTRA GÖTALANDS LÄN</t>
        </is>
      </c>
      <c r="E1571" t="inlineStr">
        <is>
          <t>TÖREBODA</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2320-2019</t>
        </is>
      </c>
      <c r="B1572" s="1" t="n">
        <v>43476</v>
      </c>
      <c r="C1572" s="1" t="n">
        <v>45227</v>
      </c>
      <c r="D1572" t="inlineStr">
        <is>
          <t>VÄSTRA GÖTALANDS LÄN</t>
        </is>
      </c>
      <c r="E1572" t="inlineStr">
        <is>
          <t>SKÖVDE</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2565-2019</t>
        </is>
      </c>
      <c r="B1573" s="1" t="n">
        <v>43476</v>
      </c>
      <c r="C1573" s="1" t="n">
        <v>45227</v>
      </c>
      <c r="D1573" t="inlineStr">
        <is>
          <t>VÄSTRA GÖTALANDS LÄN</t>
        </is>
      </c>
      <c r="E1573" t="inlineStr">
        <is>
          <t>TÖREBODA</t>
        </is>
      </c>
      <c r="G1573" t="n">
        <v>3.5</v>
      </c>
      <c r="H1573" t="n">
        <v>0</v>
      </c>
      <c r="I1573" t="n">
        <v>0</v>
      </c>
      <c r="J1573" t="n">
        <v>0</v>
      </c>
      <c r="K1573" t="n">
        <v>0</v>
      </c>
      <c r="L1573" t="n">
        <v>0</v>
      </c>
      <c r="M1573" t="n">
        <v>0</v>
      </c>
      <c r="N1573" t="n">
        <v>0</v>
      </c>
      <c r="O1573" t="n">
        <v>0</v>
      </c>
      <c r="P1573" t="n">
        <v>0</v>
      </c>
      <c r="Q1573" t="n">
        <v>0</v>
      </c>
      <c r="R1573" s="2" t="inlineStr"/>
    </row>
    <row r="1574" ht="15" customHeight="1">
      <c r="A1574" t="inlineStr">
        <is>
          <t>A 2470-2019</t>
        </is>
      </c>
      <c r="B1574" s="1" t="n">
        <v>43476</v>
      </c>
      <c r="C1574" s="1" t="n">
        <v>45227</v>
      </c>
      <c r="D1574" t="inlineStr">
        <is>
          <t>VÄSTRA GÖTALANDS LÄN</t>
        </is>
      </c>
      <c r="E1574" t="inlineStr">
        <is>
          <t>ÅMÅL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2485-2019</t>
        </is>
      </c>
      <c r="B1575" s="1" t="n">
        <v>43476</v>
      </c>
      <c r="C1575" s="1" t="n">
        <v>45227</v>
      </c>
      <c r="D1575" t="inlineStr">
        <is>
          <t>VÄSTRA GÖTALANDS LÄN</t>
        </is>
      </c>
      <c r="E1575" t="inlineStr">
        <is>
          <t>ALE</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3933-2019</t>
        </is>
      </c>
      <c r="B1576" s="1" t="n">
        <v>43476</v>
      </c>
      <c r="C1576" s="1" t="n">
        <v>45227</v>
      </c>
      <c r="D1576" t="inlineStr">
        <is>
          <t>VÄSTRA GÖTALANDS LÄN</t>
        </is>
      </c>
      <c r="E1576" t="inlineStr">
        <is>
          <t>FALKÖPING</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2609-2019</t>
        </is>
      </c>
      <c r="B1577" s="1" t="n">
        <v>43477</v>
      </c>
      <c r="C1577" s="1" t="n">
        <v>45227</v>
      </c>
      <c r="D1577" t="inlineStr">
        <is>
          <t>VÄSTRA GÖTALANDS LÄN</t>
        </is>
      </c>
      <c r="E1577" t="inlineStr">
        <is>
          <t>HERRLJUNGA</t>
        </is>
      </c>
      <c r="G1577" t="n">
        <v>1.7</v>
      </c>
      <c r="H1577" t="n">
        <v>0</v>
      </c>
      <c r="I1577" t="n">
        <v>0</v>
      </c>
      <c r="J1577" t="n">
        <v>0</v>
      </c>
      <c r="K1577" t="n">
        <v>0</v>
      </c>
      <c r="L1577" t="n">
        <v>0</v>
      </c>
      <c r="M1577" t="n">
        <v>0</v>
      </c>
      <c r="N1577" t="n">
        <v>0</v>
      </c>
      <c r="O1577" t="n">
        <v>0</v>
      </c>
      <c r="P1577" t="n">
        <v>0</v>
      </c>
      <c r="Q1577" t="n">
        <v>0</v>
      </c>
      <c r="R1577" s="2" t="inlineStr"/>
    </row>
    <row r="1578" ht="15" customHeight="1">
      <c r="A1578" t="inlineStr">
        <is>
          <t>A 2615-2019</t>
        </is>
      </c>
      <c r="B1578" s="1" t="n">
        <v>43477</v>
      </c>
      <c r="C1578" s="1" t="n">
        <v>45227</v>
      </c>
      <c r="D1578" t="inlineStr">
        <is>
          <t>VÄSTRA GÖTALANDS LÄN</t>
        </is>
      </c>
      <c r="E1578" t="inlineStr">
        <is>
          <t>HERRLJUNGA</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2611-2019</t>
        </is>
      </c>
      <c r="B1579" s="1" t="n">
        <v>43477</v>
      </c>
      <c r="C1579" s="1" t="n">
        <v>45227</v>
      </c>
      <c r="D1579" t="inlineStr">
        <is>
          <t>VÄSTRA GÖTALANDS LÄN</t>
        </is>
      </c>
      <c r="E1579" t="inlineStr">
        <is>
          <t>VÅRGÅRDA</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2622-2019</t>
        </is>
      </c>
      <c r="B1580" s="1" t="n">
        <v>43477</v>
      </c>
      <c r="C1580" s="1" t="n">
        <v>45227</v>
      </c>
      <c r="D1580" t="inlineStr">
        <is>
          <t>VÄSTRA GÖTALANDS LÄN</t>
        </is>
      </c>
      <c r="E1580" t="inlineStr">
        <is>
          <t>KARLSBORG</t>
        </is>
      </c>
      <c r="G1580" t="n">
        <v>2.2</v>
      </c>
      <c r="H1580" t="n">
        <v>0</v>
      </c>
      <c r="I1580" t="n">
        <v>0</v>
      </c>
      <c r="J1580" t="n">
        <v>0</v>
      </c>
      <c r="K1580" t="n">
        <v>0</v>
      </c>
      <c r="L1580" t="n">
        <v>0</v>
      </c>
      <c r="M1580" t="n">
        <v>0</v>
      </c>
      <c r="N1580" t="n">
        <v>0</v>
      </c>
      <c r="O1580" t="n">
        <v>0</v>
      </c>
      <c r="P1580" t="n">
        <v>0</v>
      </c>
      <c r="Q1580" t="n">
        <v>0</v>
      </c>
      <c r="R1580" s="2" t="inlineStr"/>
    </row>
    <row r="1581" ht="15" customHeight="1">
      <c r="A1581" t="inlineStr">
        <is>
          <t>A 4323-2019</t>
        </is>
      </c>
      <c r="B1581" s="1" t="n">
        <v>43478</v>
      </c>
      <c r="C1581" s="1" t="n">
        <v>45227</v>
      </c>
      <c r="D1581" t="inlineStr">
        <is>
          <t>VÄSTRA GÖTALANDS LÄN</t>
        </is>
      </c>
      <c r="E1581" t="inlineStr">
        <is>
          <t>TANUM</t>
        </is>
      </c>
      <c r="G1581" t="n">
        <v>7</v>
      </c>
      <c r="H1581" t="n">
        <v>0</v>
      </c>
      <c r="I1581" t="n">
        <v>0</v>
      </c>
      <c r="J1581" t="n">
        <v>0</v>
      </c>
      <c r="K1581" t="n">
        <v>0</v>
      </c>
      <c r="L1581" t="n">
        <v>0</v>
      </c>
      <c r="M1581" t="n">
        <v>0</v>
      </c>
      <c r="N1581" t="n">
        <v>0</v>
      </c>
      <c r="O1581" t="n">
        <v>0</v>
      </c>
      <c r="P1581" t="n">
        <v>0</v>
      </c>
      <c r="Q1581" t="n">
        <v>0</v>
      </c>
      <c r="R1581" s="2" t="inlineStr"/>
    </row>
    <row r="1582" ht="15" customHeight="1">
      <c r="A1582" t="inlineStr">
        <is>
          <t>A 2654-2019</t>
        </is>
      </c>
      <c r="B1582" s="1" t="n">
        <v>43478</v>
      </c>
      <c r="C1582" s="1" t="n">
        <v>45227</v>
      </c>
      <c r="D1582" t="inlineStr">
        <is>
          <t>VÄSTRA GÖTALANDS LÄN</t>
        </is>
      </c>
      <c r="E1582" t="inlineStr">
        <is>
          <t>TRANEMO</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2733-2019</t>
        </is>
      </c>
      <c r="B1583" s="1" t="n">
        <v>43479</v>
      </c>
      <c r="C1583" s="1" t="n">
        <v>45227</v>
      </c>
      <c r="D1583" t="inlineStr">
        <is>
          <t>VÄSTRA GÖTALANDS LÄN</t>
        </is>
      </c>
      <c r="E1583" t="inlineStr">
        <is>
          <t>SKÖVDE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2820-2019</t>
        </is>
      </c>
      <c r="B1584" s="1" t="n">
        <v>43479</v>
      </c>
      <c r="C1584" s="1" t="n">
        <v>45227</v>
      </c>
      <c r="D1584" t="inlineStr">
        <is>
          <t>VÄSTRA GÖTALANDS LÄN</t>
        </is>
      </c>
      <c r="E1584" t="inlineStr">
        <is>
          <t>ÅMÅL</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2979-2019</t>
        </is>
      </c>
      <c r="B1585" s="1" t="n">
        <v>43479</v>
      </c>
      <c r="C1585" s="1" t="n">
        <v>45227</v>
      </c>
      <c r="D1585" t="inlineStr">
        <is>
          <t>VÄSTRA GÖTALANDS LÄN</t>
        </is>
      </c>
      <c r="E1585" t="inlineStr">
        <is>
          <t>FALKÖPING</t>
        </is>
      </c>
      <c r="G1585" t="n">
        <v>5</v>
      </c>
      <c r="H1585" t="n">
        <v>0</v>
      </c>
      <c r="I1585" t="n">
        <v>0</v>
      </c>
      <c r="J1585" t="n">
        <v>0</v>
      </c>
      <c r="K1585" t="n">
        <v>0</v>
      </c>
      <c r="L1585" t="n">
        <v>0</v>
      </c>
      <c r="M1585" t="n">
        <v>0</v>
      </c>
      <c r="N1585" t="n">
        <v>0</v>
      </c>
      <c r="O1585" t="n">
        <v>0</v>
      </c>
      <c r="P1585" t="n">
        <v>0</v>
      </c>
      <c r="Q1585" t="n">
        <v>0</v>
      </c>
      <c r="R1585" s="2" t="inlineStr"/>
    </row>
    <row r="1586" ht="15" customHeight="1">
      <c r="A1586" t="inlineStr">
        <is>
          <t>A 3058-2019</t>
        </is>
      </c>
      <c r="B1586" s="1" t="n">
        <v>43479</v>
      </c>
      <c r="C1586" s="1" t="n">
        <v>45227</v>
      </c>
      <c r="D1586" t="inlineStr">
        <is>
          <t>VÄSTRA GÖTALANDS LÄN</t>
        </is>
      </c>
      <c r="E1586" t="inlineStr">
        <is>
          <t>BORÅS</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3121-2019</t>
        </is>
      </c>
      <c r="B1587" s="1" t="n">
        <v>43479</v>
      </c>
      <c r="C1587" s="1" t="n">
        <v>45227</v>
      </c>
      <c r="D1587" t="inlineStr">
        <is>
          <t>VÄSTRA GÖTALANDS LÄN</t>
        </is>
      </c>
      <c r="E1587" t="inlineStr">
        <is>
          <t>HJO</t>
        </is>
      </c>
      <c r="F1587" t="inlineStr">
        <is>
          <t>Kommuner</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4686-2019</t>
        </is>
      </c>
      <c r="B1588" s="1" t="n">
        <v>43479</v>
      </c>
      <c r="C1588" s="1" t="n">
        <v>45227</v>
      </c>
      <c r="D1588" t="inlineStr">
        <is>
          <t>VÄSTRA GÖTALANDS LÄN</t>
        </is>
      </c>
      <c r="E1588" t="inlineStr">
        <is>
          <t>MUNKEDAL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4739-2019</t>
        </is>
      </c>
      <c r="B1589" s="1" t="n">
        <v>43479</v>
      </c>
      <c r="C1589" s="1" t="n">
        <v>45227</v>
      </c>
      <c r="D1589" t="inlineStr">
        <is>
          <t>VÄSTRA GÖTALANDS LÄN</t>
        </is>
      </c>
      <c r="E1589" t="inlineStr">
        <is>
          <t>ULRICEHAMN</t>
        </is>
      </c>
      <c r="G1589" t="n">
        <v>1.5</v>
      </c>
      <c r="H1589" t="n">
        <v>0</v>
      </c>
      <c r="I1589" t="n">
        <v>0</v>
      </c>
      <c r="J1589" t="n">
        <v>0</v>
      </c>
      <c r="K1589" t="n">
        <v>0</v>
      </c>
      <c r="L1589" t="n">
        <v>0</v>
      </c>
      <c r="M1589" t="n">
        <v>0</v>
      </c>
      <c r="N1589" t="n">
        <v>0</v>
      </c>
      <c r="O1589" t="n">
        <v>0</v>
      </c>
      <c r="P1589" t="n">
        <v>0</v>
      </c>
      <c r="Q1589" t="n">
        <v>0</v>
      </c>
      <c r="R1589" s="2" t="inlineStr"/>
    </row>
    <row r="1590" ht="15" customHeight="1">
      <c r="A1590" t="inlineStr">
        <is>
          <t>A 4854-2019</t>
        </is>
      </c>
      <c r="B1590" s="1" t="n">
        <v>43479</v>
      </c>
      <c r="C1590" s="1" t="n">
        <v>45227</v>
      </c>
      <c r="D1590" t="inlineStr">
        <is>
          <t>VÄSTRA GÖTALANDS LÄN</t>
        </is>
      </c>
      <c r="E1590" t="inlineStr">
        <is>
          <t>ÅMÅL</t>
        </is>
      </c>
      <c r="G1590" t="n">
        <v>3.1</v>
      </c>
      <c r="H1590" t="n">
        <v>0</v>
      </c>
      <c r="I1590" t="n">
        <v>0</v>
      </c>
      <c r="J1590" t="n">
        <v>0</v>
      </c>
      <c r="K1590" t="n">
        <v>0</v>
      </c>
      <c r="L1590" t="n">
        <v>0</v>
      </c>
      <c r="M1590" t="n">
        <v>0</v>
      </c>
      <c r="N1590" t="n">
        <v>0</v>
      </c>
      <c r="O1590" t="n">
        <v>0</v>
      </c>
      <c r="P1590" t="n">
        <v>0</v>
      </c>
      <c r="Q1590" t="n">
        <v>0</v>
      </c>
      <c r="R1590" s="2" t="inlineStr"/>
    </row>
    <row r="1591" ht="15" customHeight="1">
      <c r="A1591" t="inlineStr">
        <is>
          <t>A 2729-2019</t>
        </is>
      </c>
      <c r="B1591" s="1" t="n">
        <v>43479</v>
      </c>
      <c r="C1591" s="1" t="n">
        <v>45227</v>
      </c>
      <c r="D1591" t="inlineStr">
        <is>
          <t>VÄSTRA GÖTALANDS LÄN</t>
        </is>
      </c>
      <c r="E1591" t="inlineStr">
        <is>
          <t>MUNKEDAL</t>
        </is>
      </c>
      <c r="G1591" t="n">
        <v>3.1</v>
      </c>
      <c r="H1591" t="n">
        <v>0</v>
      </c>
      <c r="I1591" t="n">
        <v>0</v>
      </c>
      <c r="J1591" t="n">
        <v>0</v>
      </c>
      <c r="K1591" t="n">
        <v>0</v>
      </c>
      <c r="L1591" t="n">
        <v>0</v>
      </c>
      <c r="M1591" t="n">
        <v>0</v>
      </c>
      <c r="N1591" t="n">
        <v>0</v>
      </c>
      <c r="O1591" t="n">
        <v>0</v>
      </c>
      <c r="P1591" t="n">
        <v>0</v>
      </c>
      <c r="Q1591" t="n">
        <v>0</v>
      </c>
      <c r="R1591" s="2" t="inlineStr"/>
    </row>
    <row r="1592" ht="15" customHeight="1">
      <c r="A1592" t="inlineStr">
        <is>
          <t>A 2813-2019</t>
        </is>
      </c>
      <c r="B1592" s="1" t="n">
        <v>43479</v>
      </c>
      <c r="C1592" s="1" t="n">
        <v>45227</v>
      </c>
      <c r="D1592" t="inlineStr">
        <is>
          <t>VÄSTRA GÖTALANDS LÄN</t>
        </is>
      </c>
      <c r="E1592" t="inlineStr">
        <is>
          <t>TRANEMO</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3009-2019</t>
        </is>
      </c>
      <c r="B1593" s="1" t="n">
        <v>43479</v>
      </c>
      <c r="C1593" s="1" t="n">
        <v>45227</v>
      </c>
      <c r="D1593" t="inlineStr">
        <is>
          <t>VÄSTRA GÖTALANDS LÄN</t>
        </is>
      </c>
      <c r="E1593" t="inlineStr">
        <is>
          <t>FÄRGELANDA</t>
        </is>
      </c>
      <c r="G1593" t="n">
        <v>3.8</v>
      </c>
      <c r="H1593" t="n">
        <v>0</v>
      </c>
      <c r="I1593" t="n">
        <v>0</v>
      </c>
      <c r="J1593" t="n">
        <v>0</v>
      </c>
      <c r="K1593" t="n">
        <v>0</v>
      </c>
      <c r="L1593" t="n">
        <v>0</v>
      </c>
      <c r="M1593" t="n">
        <v>0</v>
      </c>
      <c r="N1593" t="n">
        <v>0</v>
      </c>
      <c r="O1593" t="n">
        <v>0</v>
      </c>
      <c r="P1593" t="n">
        <v>0</v>
      </c>
      <c r="Q1593" t="n">
        <v>0</v>
      </c>
      <c r="R1593" s="2" t="inlineStr"/>
    </row>
    <row r="1594" ht="15" customHeight="1">
      <c r="A1594" t="inlineStr">
        <is>
          <t>A 3026-2019</t>
        </is>
      </c>
      <c r="B1594" s="1" t="n">
        <v>43479</v>
      </c>
      <c r="C1594" s="1" t="n">
        <v>45227</v>
      </c>
      <c r="D1594" t="inlineStr">
        <is>
          <t>VÄSTRA GÖTALANDS LÄN</t>
        </is>
      </c>
      <c r="E1594" t="inlineStr">
        <is>
          <t>BENGTSFORS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4711-2019</t>
        </is>
      </c>
      <c r="B1595" s="1" t="n">
        <v>43479</v>
      </c>
      <c r="C1595" s="1" t="n">
        <v>45227</v>
      </c>
      <c r="D1595" t="inlineStr">
        <is>
          <t>VÄSTRA GÖTALANDS LÄN</t>
        </is>
      </c>
      <c r="E1595" t="inlineStr">
        <is>
          <t>FÄRGELANDA</t>
        </is>
      </c>
      <c r="G1595" t="n">
        <v>5.7</v>
      </c>
      <c r="H1595" t="n">
        <v>0</v>
      </c>
      <c r="I1595" t="n">
        <v>0</v>
      </c>
      <c r="J1595" t="n">
        <v>0</v>
      </c>
      <c r="K1595" t="n">
        <v>0</v>
      </c>
      <c r="L1595" t="n">
        <v>0</v>
      </c>
      <c r="M1595" t="n">
        <v>0</v>
      </c>
      <c r="N1595" t="n">
        <v>0</v>
      </c>
      <c r="O1595" t="n">
        <v>0</v>
      </c>
      <c r="P1595" t="n">
        <v>0</v>
      </c>
      <c r="Q1595" t="n">
        <v>0</v>
      </c>
      <c r="R1595" s="2" t="inlineStr"/>
    </row>
    <row r="1596" ht="15" customHeight="1">
      <c r="A1596" t="inlineStr">
        <is>
          <t>A 2936-2019</t>
        </is>
      </c>
      <c r="B1596" s="1" t="n">
        <v>43479</v>
      </c>
      <c r="C1596" s="1" t="n">
        <v>45227</v>
      </c>
      <c r="D1596" t="inlineStr">
        <is>
          <t>VÄSTRA GÖTALANDS LÄN</t>
        </is>
      </c>
      <c r="E1596" t="inlineStr">
        <is>
          <t>BENGTSFORS</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2981-2019</t>
        </is>
      </c>
      <c r="B1597" s="1" t="n">
        <v>43479</v>
      </c>
      <c r="C1597" s="1" t="n">
        <v>45227</v>
      </c>
      <c r="D1597" t="inlineStr">
        <is>
          <t>VÄSTRA GÖTALANDS LÄN</t>
        </is>
      </c>
      <c r="E1597" t="inlineStr">
        <is>
          <t>FALKÖPING</t>
        </is>
      </c>
      <c r="G1597" t="n">
        <v>3.6</v>
      </c>
      <c r="H1597" t="n">
        <v>0</v>
      </c>
      <c r="I1597" t="n">
        <v>0</v>
      </c>
      <c r="J1597" t="n">
        <v>0</v>
      </c>
      <c r="K1597" t="n">
        <v>0</v>
      </c>
      <c r="L1597" t="n">
        <v>0</v>
      </c>
      <c r="M1597" t="n">
        <v>0</v>
      </c>
      <c r="N1597" t="n">
        <v>0</v>
      </c>
      <c r="O1597" t="n">
        <v>0</v>
      </c>
      <c r="P1597" t="n">
        <v>0</v>
      </c>
      <c r="Q1597" t="n">
        <v>0</v>
      </c>
      <c r="R1597" s="2" t="inlineStr"/>
    </row>
    <row r="1598" ht="15" customHeight="1">
      <c r="A1598" t="inlineStr">
        <is>
          <t>A 3020-2019</t>
        </is>
      </c>
      <c r="B1598" s="1" t="n">
        <v>43479</v>
      </c>
      <c r="C1598" s="1" t="n">
        <v>45227</v>
      </c>
      <c r="D1598" t="inlineStr">
        <is>
          <t>VÄSTRA GÖTALANDS LÄN</t>
        </is>
      </c>
      <c r="E1598" t="inlineStr">
        <is>
          <t>BENGTSFORS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3044-2019</t>
        </is>
      </c>
      <c r="B1599" s="1" t="n">
        <v>43479</v>
      </c>
      <c r="C1599" s="1" t="n">
        <v>45227</v>
      </c>
      <c r="D1599" t="inlineStr">
        <is>
          <t>VÄSTRA GÖTALANDS LÄN</t>
        </is>
      </c>
      <c r="E1599" t="inlineStr">
        <is>
          <t>UDDEVALLA</t>
        </is>
      </c>
      <c r="G1599" t="n">
        <v>3.1</v>
      </c>
      <c r="H1599" t="n">
        <v>0</v>
      </c>
      <c r="I1599" t="n">
        <v>0</v>
      </c>
      <c r="J1599" t="n">
        <v>0</v>
      </c>
      <c r="K1599" t="n">
        <v>0</v>
      </c>
      <c r="L1599" t="n">
        <v>0</v>
      </c>
      <c r="M1599" t="n">
        <v>0</v>
      </c>
      <c r="N1599" t="n">
        <v>0</v>
      </c>
      <c r="O1599" t="n">
        <v>0</v>
      </c>
      <c r="P1599" t="n">
        <v>0</v>
      </c>
      <c r="Q1599" t="n">
        <v>0</v>
      </c>
      <c r="R1599" s="2" t="inlineStr"/>
    </row>
    <row r="1600" ht="15" customHeight="1">
      <c r="A1600" t="inlineStr">
        <is>
          <t>A 4698-2019</t>
        </is>
      </c>
      <c r="B1600" s="1" t="n">
        <v>43479</v>
      </c>
      <c r="C1600" s="1" t="n">
        <v>45227</v>
      </c>
      <c r="D1600" t="inlineStr">
        <is>
          <t>VÄSTRA GÖTALANDS LÄN</t>
        </is>
      </c>
      <c r="E1600" t="inlineStr">
        <is>
          <t>FÄRGELANDA</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4747-2019</t>
        </is>
      </c>
      <c r="B1601" s="1" t="n">
        <v>43479</v>
      </c>
      <c r="C1601" s="1" t="n">
        <v>45227</v>
      </c>
      <c r="D1601" t="inlineStr">
        <is>
          <t>VÄSTRA GÖTALANDS LÄN</t>
        </is>
      </c>
      <c r="E1601" t="inlineStr">
        <is>
          <t>ULRICEHAMN</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2748-2019</t>
        </is>
      </c>
      <c r="B1602" s="1" t="n">
        <v>43479</v>
      </c>
      <c r="C1602" s="1" t="n">
        <v>45227</v>
      </c>
      <c r="D1602" t="inlineStr">
        <is>
          <t>VÄSTRA GÖTALANDS LÄN</t>
        </is>
      </c>
      <c r="E1602" t="inlineStr">
        <is>
          <t>TRANEMO</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2780-2019</t>
        </is>
      </c>
      <c r="B1603" s="1" t="n">
        <v>43479</v>
      </c>
      <c r="C1603" s="1" t="n">
        <v>45227</v>
      </c>
      <c r="D1603" t="inlineStr">
        <is>
          <t>VÄSTRA GÖTALANDS LÄN</t>
        </is>
      </c>
      <c r="E1603" t="inlineStr">
        <is>
          <t>SKÖVDE</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4350-2019</t>
        </is>
      </c>
      <c r="B1604" s="1" t="n">
        <v>43479</v>
      </c>
      <c r="C1604" s="1" t="n">
        <v>45227</v>
      </c>
      <c r="D1604" t="inlineStr">
        <is>
          <t>VÄSTRA GÖTALANDS LÄN</t>
        </is>
      </c>
      <c r="E1604" t="inlineStr">
        <is>
          <t>ALE</t>
        </is>
      </c>
      <c r="G1604" t="n">
        <v>7</v>
      </c>
      <c r="H1604" t="n">
        <v>0</v>
      </c>
      <c r="I1604" t="n">
        <v>0</v>
      </c>
      <c r="J1604" t="n">
        <v>0</v>
      </c>
      <c r="K1604" t="n">
        <v>0</v>
      </c>
      <c r="L1604" t="n">
        <v>0</v>
      </c>
      <c r="M1604" t="n">
        <v>0</v>
      </c>
      <c r="N1604" t="n">
        <v>0</v>
      </c>
      <c r="O1604" t="n">
        <v>0</v>
      </c>
      <c r="P1604" t="n">
        <v>0</v>
      </c>
      <c r="Q1604" t="n">
        <v>0</v>
      </c>
      <c r="R1604" s="2" t="inlineStr"/>
    </row>
    <row r="1605" ht="15" customHeight="1">
      <c r="A1605" t="inlineStr">
        <is>
          <t>A 4685-2019</t>
        </is>
      </c>
      <c r="B1605" s="1" t="n">
        <v>43479</v>
      </c>
      <c r="C1605" s="1" t="n">
        <v>45227</v>
      </c>
      <c r="D1605" t="inlineStr">
        <is>
          <t>VÄSTRA GÖTALANDS LÄN</t>
        </is>
      </c>
      <c r="E1605" t="inlineStr">
        <is>
          <t>MUNKEDAL</t>
        </is>
      </c>
      <c r="G1605" t="n">
        <v>0.1</v>
      </c>
      <c r="H1605" t="n">
        <v>0</v>
      </c>
      <c r="I1605" t="n">
        <v>0</v>
      </c>
      <c r="J1605" t="n">
        <v>0</v>
      </c>
      <c r="K1605" t="n">
        <v>0</v>
      </c>
      <c r="L1605" t="n">
        <v>0</v>
      </c>
      <c r="M1605" t="n">
        <v>0</v>
      </c>
      <c r="N1605" t="n">
        <v>0</v>
      </c>
      <c r="O1605" t="n">
        <v>0</v>
      </c>
      <c r="P1605" t="n">
        <v>0</v>
      </c>
      <c r="Q1605" t="n">
        <v>0</v>
      </c>
      <c r="R1605" s="2" t="inlineStr"/>
    </row>
    <row r="1606" ht="15" customHeight="1">
      <c r="A1606" t="inlineStr">
        <is>
          <t>A 4713-2019</t>
        </is>
      </c>
      <c r="B1606" s="1" t="n">
        <v>43479</v>
      </c>
      <c r="C1606" s="1" t="n">
        <v>45227</v>
      </c>
      <c r="D1606" t="inlineStr">
        <is>
          <t>VÄSTRA GÖTALANDS LÄN</t>
        </is>
      </c>
      <c r="E1606" t="inlineStr">
        <is>
          <t>FÄRGELANDA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3369-2019</t>
        </is>
      </c>
      <c r="B1607" s="1" t="n">
        <v>43480</v>
      </c>
      <c r="C1607" s="1" t="n">
        <v>45227</v>
      </c>
      <c r="D1607" t="inlineStr">
        <is>
          <t>VÄSTRA GÖTALANDS LÄN</t>
        </is>
      </c>
      <c r="E1607" t="inlineStr">
        <is>
          <t>LIDKÖPING</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5042-2019</t>
        </is>
      </c>
      <c r="B1608" s="1" t="n">
        <v>43480</v>
      </c>
      <c r="C1608" s="1" t="n">
        <v>45227</v>
      </c>
      <c r="D1608" t="inlineStr">
        <is>
          <t>VÄSTRA GÖTALANDS LÄN</t>
        </is>
      </c>
      <c r="E1608" t="inlineStr">
        <is>
          <t>TROLLHÄTTAN</t>
        </is>
      </c>
      <c r="G1608" t="n">
        <v>5.1</v>
      </c>
      <c r="H1608" t="n">
        <v>0</v>
      </c>
      <c r="I1608" t="n">
        <v>0</v>
      </c>
      <c r="J1608" t="n">
        <v>0</v>
      </c>
      <c r="K1608" t="n">
        <v>0</v>
      </c>
      <c r="L1608" t="n">
        <v>0</v>
      </c>
      <c r="M1608" t="n">
        <v>0</v>
      </c>
      <c r="N1608" t="n">
        <v>0</v>
      </c>
      <c r="O1608" t="n">
        <v>0</v>
      </c>
      <c r="P1608" t="n">
        <v>0</v>
      </c>
      <c r="Q1608" t="n">
        <v>0</v>
      </c>
      <c r="R1608" s="2" t="inlineStr"/>
    </row>
    <row r="1609" ht="15" customHeight="1">
      <c r="A1609" t="inlineStr">
        <is>
          <t>A 3137-2019</t>
        </is>
      </c>
      <c r="B1609" s="1" t="n">
        <v>43480</v>
      </c>
      <c r="C1609" s="1" t="n">
        <v>45227</v>
      </c>
      <c r="D1609" t="inlineStr">
        <is>
          <t>VÄSTRA GÖTALANDS LÄN</t>
        </is>
      </c>
      <c r="E1609" t="inlineStr">
        <is>
          <t>ORUST</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3310-2019</t>
        </is>
      </c>
      <c r="B1610" s="1" t="n">
        <v>43480</v>
      </c>
      <c r="C1610" s="1" t="n">
        <v>45227</v>
      </c>
      <c r="D1610" t="inlineStr">
        <is>
          <t>VÄSTRA GÖTALANDS LÄN</t>
        </is>
      </c>
      <c r="E1610" t="inlineStr">
        <is>
          <t>LIDKÖPING</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3338-2019</t>
        </is>
      </c>
      <c r="B1611" s="1" t="n">
        <v>43480</v>
      </c>
      <c r="C1611" s="1" t="n">
        <v>45227</v>
      </c>
      <c r="D1611" t="inlineStr">
        <is>
          <t>VÄSTRA GÖTALANDS LÄN</t>
        </is>
      </c>
      <c r="E1611" t="inlineStr">
        <is>
          <t>LIDKÖPING</t>
        </is>
      </c>
      <c r="G1611" t="n">
        <v>2.8</v>
      </c>
      <c r="H1611" t="n">
        <v>0</v>
      </c>
      <c r="I1611" t="n">
        <v>0</v>
      </c>
      <c r="J1611" t="n">
        <v>0</v>
      </c>
      <c r="K1611" t="n">
        <v>0</v>
      </c>
      <c r="L1611" t="n">
        <v>0</v>
      </c>
      <c r="M1611" t="n">
        <v>0</v>
      </c>
      <c r="N1611" t="n">
        <v>0</v>
      </c>
      <c r="O1611" t="n">
        <v>0</v>
      </c>
      <c r="P1611" t="n">
        <v>0</v>
      </c>
      <c r="Q1611" t="n">
        <v>0</v>
      </c>
      <c r="R1611" s="2" t="inlineStr"/>
    </row>
    <row r="1612" ht="15" customHeight="1">
      <c r="A1612" t="inlineStr">
        <is>
          <t>A 5287-2019</t>
        </is>
      </c>
      <c r="B1612" s="1" t="n">
        <v>43480</v>
      </c>
      <c r="C1612" s="1" t="n">
        <v>45227</v>
      </c>
      <c r="D1612" t="inlineStr">
        <is>
          <t>VÄSTRA GÖTALANDS LÄN</t>
        </is>
      </c>
      <c r="E1612" t="inlineStr">
        <is>
          <t>STRÖMSTAD</t>
        </is>
      </c>
      <c r="G1612" t="n">
        <v>4.1</v>
      </c>
      <c r="H1612" t="n">
        <v>0</v>
      </c>
      <c r="I1612" t="n">
        <v>0</v>
      </c>
      <c r="J1612" t="n">
        <v>0</v>
      </c>
      <c r="K1612" t="n">
        <v>0</v>
      </c>
      <c r="L1612" t="n">
        <v>0</v>
      </c>
      <c r="M1612" t="n">
        <v>0</v>
      </c>
      <c r="N1612" t="n">
        <v>0</v>
      </c>
      <c r="O1612" t="n">
        <v>0</v>
      </c>
      <c r="P1612" t="n">
        <v>0</v>
      </c>
      <c r="Q1612" t="n">
        <v>0</v>
      </c>
      <c r="R1612" s="2" t="inlineStr"/>
    </row>
    <row r="1613" ht="15" customHeight="1">
      <c r="A1613" t="inlineStr">
        <is>
          <t>A 3233-2019</t>
        </is>
      </c>
      <c r="B1613" s="1" t="n">
        <v>43480</v>
      </c>
      <c r="C1613" s="1" t="n">
        <v>45227</v>
      </c>
      <c r="D1613" t="inlineStr">
        <is>
          <t>VÄSTRA GÖTALANDS LÄN</t>
        </is>
      </c>
      <c r="E1613" t="inlineStr">
        <is>
          <t>TANUM</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3278-2019</t>
        </is>
      </c>
      <c r="B1614" s="1" t="n">
        <v>43480</v>
      </c>
      <c r="C1614" s="1" t="n">
        <v>45227</v>
      </c>
      <c r="D1614" t="inlineStr">
        <is>
          <t>VÄSTRA GÖTALANDS LÄN</t>
        </is>
      </c>
      <c r="E1614" t="inlineStr">
        <is>
          <t>FÄRGELANDA</t>
        </is>
      </c>
      <c r="G1614" t="n">
        <v>7.7</v>
      </c>
      <c r="H1614" t="n">
        <v>0</v>
      </c>
      <c r="I1614" t="n">
        <v>0</v>
      </c>
      <c r="J1614" t="n">
        <v>0</v>
      </c>
      <c r="K1614" t="n">
        <v>0</v>
      </c>
      <c r="L1614" t="n">
        <v>0</v>
      </c>
      <c r="M1614" t="n">
        <v>0</v>
      </c>
      <c r="N1614" t="n">
        <v>0</v>
      </c>
      <c r="O1614" t="n">
        <v>0</v>
      </c>
      <c r="P1614" t="n">
        <v>0</v>
      </c>
      <c r="Q1614" t="n">
        <v>0</v>
      </c>
      <c r="R1614" s="2" t="inlineStr"/>
    </row>
    <row r="1615" ht="15" customHeight="1">
      <c r="A1615" t="inlineStr">
        <is>
          <t>A 3306-2019</t>
        </is>
      </c>
      <c r="B1615" s="1" t="n">
        <v>43480</v>
      </c>
      <c r="C1615" s="1" t="n">
        <v>45227</v>
      </c>
      <c r="D1615" t="inlineStr">
        <is>
          <t>VÄSTRA GÖTALANDS LÄN</t>
        </is>
      </c>
      <c r="E1615" t="inlineStr">
        <is>
          <t>BORÅS</t>
        </is>
      </c>
      <c r="G1615" t="n">
        <v>4.7</v>
      </c>
      <c r="H1615" t="n">
        <v>0</v>
      </c>
      <c r="I1615" t="n">
        <v>0</v>
      </c>
      <c r="J1615" t="n">
        <v>0</v>
      </c>
      <c r="K1615" t="n">
        <v>0</v>
      </c>
      <c r="L1615" t="n">
        <v>0</v>
      </c>
      <c r="M1615" t="n">
        <v>0</v>
      </c>
      <c r="N1615" t="n">
        <v>0</v>
      </c>
      <c r="O1615" t="n">
        <v>0</v>
      </c>
      <c r="P1615" t="n">
        <v>0</v>
      </c>
      <c r="Q1615" t="n">
        <v>0</v>
      </c>
      <c r="R1615" s="2" t="inlineStr"/>
    </row>
    <row r="1616" ht="15" customHeight="1">
      <c r="A1616" t="inlineStr">
        <is>
          <t>A 3355-2019</t>
        </is>
      </c>
      <c r="B1616" s="1" t="n">
        <v>43480</v>
      </c>
      <c r="C1616" s="1" t="n">
        <v>45227</v>
      </c>
      <c r="D1616" t="inlineStr">
        <is>
          <t>VÄSTRA GÖTALANDS LÄN</t>
        </is>
      </c>
      <c r="E1616" t="inlineStr">
        <is>
          <t>ULRICEHAMN</t>
        </is>
      </c>
      <c r="G1616" t="n">
        <v>10.9</v>
      </c>
      <c r="H1616" t="n">
        <v>0</v>
      </c>
      <c r="I1616" t="n">
        <v>0</v>
      </c>
      <c r="J1616" t="n">
        <v>0</v>
      </c>
      <c r="K1616" t="n">
        <v>0</v>
      </c>
      <c r="L1616" t="n">
        <v>0</v>
      </c>
      <c r="M1616" t="n">
        <v>0</v>
      </c>
      <c r="N1616" t="n">
        <v>0</v>
      </c>
      <c r="O1616" t="n">
        <v>0</v>
      </c>
      <c r="P1616" t="n">
        <v>0</v>
      </c>
      <c r="Q1616" t="n">
        <v>0</v>
      </c>
      <c r="R1616" s="2" t="inlineStr"/>
    </row>
    <row r="1617" ht="15" customHeight="1">
      <c r="A1617" t="inlineStr">
        <is>
          <t>A 5343-2019</t>
        </is>
      </c>
      <c r="B1617" s="1" t="n">
        <v>43480</v>
      </c>
      <c r="C1617" s="1" t="n">
        <v>45227</v>
      </c>
      <c r="D1617" t="inlineStr">
        <is>
          <t>VÄSTRA GÖTALANDS LÄN</t>
        </is>
      </c>
      <c r="E1617" t="inlineStr">
        <is>
          <t>HJO</t>
        </is>
      </c>
      <c r="F1617" t="inlineStr">
        <is>
          <t>Övriga Aktiebolag</t>
        </is>
      </c>
      <c r="G1617" t="n">
        <v>20</v>
      </c>
      <c r="H1617" t="n">
        <v>0</v>
      </c>
      <c r="I1617" t="n">
        <v>0</v>
      </c>
      <c r="J1617" t="n">
        <v>0</v>
      </c>
      <c r="K1617" t="n">
        <v>0</v>
      </c>
      <c r="L1617" t="n">
        <v>0</v>
      </c>
      <c r="M1617" t="n">
        <v>0</v>
      </c>
      <c r="N1617" t="n">
        <v>0</v>
      </c>
      <c r="O1617" t="n">
        <v>0</v>
      </c>
      <c r="P1617" t="n">
        <v>0</v>
      </c>
      <c r="Q1617" t="n">
        <v>0</v>
      </c>
      <c r="R1617" s="2" t="inlineStr"/>
    </row>
    <row r="1618" ht="15" customHeight="1">
      <c r="A1618" t="inlineStr">
        <is>
          <t>A 3514-2019</t>
        </is>
      </c>
      <c r="B1618" s="1" t="n">
        <v>43481</v>
      </c>
      <c r="C1618" s="1" t="n">
        <v>45227</v>
      </c>
      <c r="D1618" t="inlineStr">
        <is>
          <t>VÄSTRA GÖTALANDS LÄN</t>
        </is>
      </c>
      <c r="E1618" t="inlineStr">
        <is>
          <t>ÅMÅL</t>
        </is>
      </c>
      <c r="G1618" t="n">
        <v>3.4</v>
      </c>
      <c r="H1618" t="n">
        <v>0</v>
      </c>
      <c r="I1618" t="n">
        <v>0</v>
      </c>
      <c r="J1618" t="n">
        <v>0</v>
      </c>
      <c r="K1618" t="n">
        <v>0</v>
      </c>
      <c r="L1618" t="n">
        <v>0</v>
      </c>
      <c r="M1618" t="n">
        <v>0</v>
      </c>
      <c r="N1618" t="n">
        <v>0</v>
      </c>
      <c r="O1618" t="n">
        <v>0</v>
      </c>
      <c r="P1618" t="n">
        <v>0</v>
      </c>
      <c r="Q1618" t="n">
        <v>0</v>
      </c>
      <c r="R1618" s="2" t="inlineStr"/>
    </row>
    <row r="1619" ht="15" customHeight="1">
      <c r="A1619" t="inlineStr">
        <is>
          <t>A 3759-2019</t>
        </is>
      </c>
      <c r="B1619" s="1" t="n">
        <v>43481</v>
      </c>
      <c r="C1619" s="1" t="n">
        <v>45227</v>
      </c>
      <c r="D1619" t="inlineStr">
        <is>
          <t>VÄSTRA GÖTALANDS LÄN</t>
        </is>
      </c>
      <c r="E1619" t="inlineStr">
        <is>
          <t>MARIESTAD</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5222-2019</t>
        </is>
      </c>
      <c r="B1620" s="1" t="n">
        <v>43481</v>
      </c>
      <c r="C1620" s="1" t="n">
        <v>45227</v>
      </c>
      <c r="D1620" t="inlineStr">
        <is>
          <t>VÄSTRA GÖTALANDS LÄN</t>
        </is>
      </c>
      <c r="E1620" t="inlineStr">
        <is>
          <t>BENGTSFORS</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5306-2019</t>
        </is>
      </c>
      <c r="B1621" s="1" t="n">
        <v>43481</v>
      </c>
      <c r="C1621" s="1" t="n">
        <v>45227</v>
      </c>
      <c r="D1621" t="inlineStr">
        <is>
          <t>VÄSTRA GÖTALANDS LÄN</t>
        </is>
      </c>
      <c r="E1621" t="inlineStr">
        <is>
          <t>VÅRGÅRDA</t>
        </is>
      </c>
      <c r="G1621" t="n">
        <v>2.4</v>
      </c>
      <c r="H1621" t="n">
        <v>0</v>
      </c>
      <c r="I1621" t="n">
        <v>0</v>
      </c>
      <c r="J1621" t="n">
        <v>0</v>
      </c>
      <c r="K1621" t="n">
        <v>0</v>
      </c>
      <c r="L1621" t="n">
        <v>0</v>
      </c>
      <c r="M1621" t="n">
        <v>0</v>
      </c>
      <c r="N1621" t="n">
        <v>0</v>
      </c>
      <c r="O1621" t="n">
        <v>0</v>
      </c>
      <c r="P1621" t="n">
        <v>0</v>
      </c>
      <c r="Q1621" t="n">
        <v>0</v>
      </c>
      <c r="R1621" s="2" t="inlineStr"/>
    </row>
    <row r="1622" ht="15" customHeight="1">
      <c r="A1622" t="inlineStr">
        <is>
          <t>A 3560-2019</t>
        </is>
      </c>
      <c r="B1622" s="1" t="n">
        <v>43481</v>
      </c>
      <c r="C1622" s="1" t="n">
        <v>45227</v>
      </c>
      <c r="D1622" t="inlineStr">
        <is>
          <t>VÄSTRA GÖTALANDS LÄN</t>
        </is>
      </c>
      <c r="E1622" t="inlineStr">
        <is>
          <t>ALE</t>
        </is>
      </c>
      <c r="G1622" t="n">
        <v>0.2</v>
      </c>
      <c r="H1622" t="n">
        <v>0</v>
      </c>
      <c r="I1622" t="n">
        <v>0</v>
      </c>
      <c r="J1622" t="n">
        <v>0</v>
      </c>
      <c r="K1622" t="n">
        <v>0</v>
      </c>
      <c r="L1622" t="n">
        <v>0</v>
      </c>
      <c r="M1622" t="n">
        <v>0</v>
      </c>
      <c r="N1622" t="n">
        <v>0</v>
      </c>
      <c r="O1622" t="n">
        <v>0</v>
      </c>
      <c r="P1622" t="n">
        <v>0</v>
      </c>
      <c r="Q1622" t="n">
        <v>0</v>
      </c>
      <c r="R1622" s="2" t="inlineStr"/>
    </row>
    <row r="1623" ht="15" customHeight="1">
      <c r="A1623" t="inlineStr">
        <is>
          <t>A 3675-2019</t>
        </is>
      </c>
      <c r="B1623" s="1" t="n">
        <v>43481</v>
      </c>
      <c r="C1623" s="1" t="n">
        <v>45227</v>
      </c>
      <c r="D1623" t="inlineStr">
        <is>
          <t>VÄSTRA GÖTALANDS LÄN</t>
        </is>
      </c>
      <c r="E1623" t="inlineStr">
        <is>
          <t>FÄRGELANDA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5200-2019</t>
        </is>
      </c>
      <c r="B1624" s="1" t="n">
        <v>43481</v>
      </c>
      <c r="C1624" s="1" t="n">
        <v>45227</v>
      </c>
      <c r="D1624" t="inlineStr">
        <is>
          <t>VÄSTRA GÖTALANDS LÄN</t>
        </is>
      </c>
      <c r="E1624" t="inlineStr">
        <is>
          <t>VÄNERSBORG</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3422-2019</t>
        </is>
      </c>
      <c r="B1625" s="1" t="n">
        <v>43481</v>
      </c>
      <c r="C1625" s="1" t="n">
        <v>45227</v>
      </c>
      <c r="D1625" t="inlineStr">
        <is>
          <t>VÄSTRA GÖTALANDS LÄN</t>
        </is>
      </c>
      <c r="E1625" t="inlineStr">
        <is>
          <t>TANUM</t>
        </is>
      </c>
      <c r="G1625" t="n">
        <v>3</v>
      </c>
      <c r="H1625" t="n">
        <v>0</v>
      </c>
      <c r="I1625" t="n">
        <v>0</v>
      </c>
      <c r="J1625" t="n">
        <v>0</v>
      </c>
      <c r="K1625" t="n">
        <v>0</v>
      </c>
      <c r="L1625" t="n">
        <v>0</v>
      </c>
      <c r="M1625" t="n">
        <v>0</v>
      </c>
      <c r="N1625" t="n">
        <v>0</v>
      </c>
      <c r="O1625" t="n">
        <v>0</v>
      </c>
      <c r="P1625" t="n">
        <v>0</v>
      </c>
      <c r="Q1625" t="n">
        <v>0</v>
      </c>
      <c r="R1625" s="2" t="inlineStr"/>
    </row>
    <row r="1626" ht="15" customHeight="1">
      <c r="A1626" t="inlineStr">
        <is>
          <t>A 5195-2019</t>
        </is>
      </c>
      <c r="B1626" s="1" t="n">
        <v>43481</v>
      </c>
      <c r="C1626" s="1" t="n">
        <v>45227</v>
      </c>
      <c r="D1626" t="inlineStr">
        <is>
          <t>VÄSTRA GÖTALANDS LÄN</t>
        </is>
      </c>
      <c r="E1626" t="inlineStr">
        <is>
          <t>TANUM</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5216-2019</t>
        </is>
      </c>
      <c r="B1627" s="1" t="n">
        <v>43481</v>
      </c>
      <c r="C1627" s="1" t="n">
        <v>45227</v>
      </c>
      <c r="D1627" t="inlineStr">
        <is>
          <t>VÄSTRA GÖTALANDS LÄN</t>
        </is>
      </c>
      <c r="E1627" t="inlineStr">
        <is>
          <t>TRANEMO</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3496-2019</t>
        </is>
      </c>
      <c r="B1628" s="1" t="n">
        <v>43481</v>
      </c>
      <c r="C1628" s="1" t="n">
        <v>45227</v>
      </c>
      <c r="D1628" t="inlineStr">
        <is>
          <t>VÄSTRA GÖTALANDS LÄN</t>
        </is>
      </c>
      <c r="E1628" t="inlineStr">
        <is>
          <t>MARK</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5299-2019</t>
        </is>
      </c>
      <c r="B1629" s="1" t="n">
        <v>43481</v>
      </c>
      <c r="C1629" s="1" t="n">
        <v>45227</v>
      </c>
      <c r="D1629" t="inlineStr">
        <is>
          <t>VÄSTRA GÖTALANDS LÄN</t>
        </is>
      </c>
      <c r="E1629" t="inlineStr">
        <is>
          <t>VÅRGÅRDA</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3874-2019</t>
        </is>
      </c>
      <c r="B1630" s="1" t="n">
        <v>43482</v>
      </c>
      <c r="C1630" s="1" t="n">
        <v>45227</v>
      </c>
      <c r="D1630" t="inlineStr">
        <is>
          <t>VÄSTRA GÖTALANDS LÄN</t>
        </is>
      </c>
      <c r="E1630" t="inlineStr">
        <is>
          <t>BORÅS</t>
        </is>
      </c>
      <c r="G1630" t="n">
        <v>6.3</v>
      </c>
      <c r="H1630" t="n">
        <v>0</v>
      </c>
      <c r="I1630" t="n">
        <v>0</v>
      </c>
      <c r="J1630" t="n">
        <v>0</v>
      </c>
      <c r="K1630" t="n">
        <v>0</v>
      </c>
      <c r="L1630" t="n">
        <v>0</v>
      </c>
      <c r="M1630" t="n">
        <v>0</v>
      </c>
      <c r="N1630" t="n">
        <v>0</v>
      </c>
      <c r="O1630" t="n">
        <v>0</v>
      </c>
      <c r="P1630" t="n">
        <v>0</v>
      </c>
      <c r="Q1630" t="n">
        <v>0</v>
      </c>
      <c r="R1630" s="2" t="inlineStr"/>
    </row>
    <row r="1631" ht="15" customHeight="1">
      <c r="A1631" t="inlineStr">
        <is>
          <t>A 4011-2019</t>
        </is>
      </c>
      <c r="B1631" s="1" t="n">
        <v>43482</v>
      </c>
      <c r="C1631" s="1" t="n">
        <v>45227</v>
      </c>
      <c r="D1631" t="inlineStr">
        <is>
          <t>VÄSTRA GÖTALANDS LÄN</t>
        </is>
      </c>
      <c r="E1631" t="inlineStr">
        <is>
          <t>TANUM</t>
        </is>
      </c>
      <c r="G1631" t="n">
        <v>6.1</v>
      </c>
      <c r="H1631" t="n">
        <v>0</v>
      </c>
      <c r="I1631" t="n">
        <v>0</v>
      </c>
      <c r="J1631" t="n">
        <v>0</v>
      </c>
      <c r="K1631" t="n">
        <v>0</v>
      </c>
      <c r="L1631" t="n">
        <v>0</v>
      </c>
      <c r="M1631" t="n">
        <v>0</v>
      </c>
      <c r="N1631" t="n">
        <v>0</v>
      </c>
      <c r="O1631" t="n">
        <v>0</v>
      </c>
      <c r="P1631" t="n">
        <v>0</v>
      </c>
      <c r="Q1631" t="n">
        <v>0</v>
      </c>
      <c r="R1631" s="2" t="inlineStr"/>
    </row>
    <row r="1632" ht="15" customHeight="1">
      <c r="A1632" t="inlineStr">
        <is>
          <t>A 4043-2019</t>
        </is>
      </c>
      <c r="B1632" s="1" t="n">
        <v>43482</v>
      </c>
      <c r="C1632" s="1" t="n">
        <v>45227</v>
      </c>
      <c r="D1632" t="inlineStr">
        <is>
          <t>VÄSTRA GÖTALANDS LÄN</t>
        </is>
      </c>
      <c r="E1632" t="inlineStr">
        <is>
          <t>LIDKÖPING</t>
        </is>
      </c>
      <c r="G1632" t="n">
        <v>0.5</v>
      </c>
      <c r="H1632" t="n">
        <v>0</v>
      </c>
      <c r="I1632" t="n">
        <v>0</v>
      </c>
      <c r="J1632" t="n">
        <v>0</v>
      </c>
      <c r="K1632" t="n">
        <v>0</v>
      </c>
      <c r="L1632" t="n">
        <v>0</v>
      </c>
      <c r="M1632" t="n">
        <v>0</v>
      </c>
      <c r="N1632" t="n">
        <v>0</v>
      </c>
      <c r="O1632" t="n">
        <v>0</v>
      </c>
      <c r="P1632" t="n">
        <v>0</v>
      </c>
      <c r="Q1632" t="n">
        <v>0</v>
      </c>
      <c r="R1632" s="2" t="inlineStr"/>
    </row>
    <row r="1633" ht="15" customHeight="1">
      <c r="A1633" t="inlineStr">
        <is>
          <t>A 4060-2019</t>
        </is>
      </c>
      <c r="B1633" s="1" t="n">
        <v>43482</v>
      </c>
      <c r="C1633" s="1" t="n">
        <v>45227</v>
      </c>
      <c r="D1633" t="inlineStr">
        <is>
          <t>VÄSTRA GÖTALANDS LÄN</t>
        </is>
      </c>
      <c r="E1633" t="inlineStr">
        <is>
          <t>LIDKÖPING</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4090-2019</t>
        </is>
      </c>
      <c r="B1634" s="1" t="n">
        <v>43482</v>
      </c>
      <c r="C1634" s="1" t="n">
        <v>45227</v>
      </c>
      <c r="D1634" t="inlineStr">
        <is>
          <t>VÄSTRA GÖTALANDS LÄN</t>
        </is>
      </c>
      <c r="E1634" t="inlineStr">
        <is>
          <t>GRÄSTORP</t>
        </is>
      </c>
      <c r="G1634" t="n">
        <v>13.8</v>
      </c>
      <c r="H1634" t="n">
        <v>0</v>
      </c>
      <c r="I1634" t="n">
        <v>0</v>
      </c>
      <c r="J1634" t="n">
        <v>0</v>
      </c>
      <c r="K1634" t="n">
        <v>0</v>
      </c>
      <c r="L1634" t="n">
        <v>0</v>
      </c>
      <c r="M1634" t="n">
        <v>0</v>
      </c>
      <c r="N1634" t="n">
        <v>0</v>
      </c>
      <c r="O1634" t="n">
        <v>0</v>
      </c>
      <c r="P1634" t="n">
        <v>0</v>
      </c>
      <c r="Q1634" t="n">
        <v>0</v>
      </c>
      <c r="R1634" s="2" t="inlineStr"/>
    </row>
    <row r="1635" ht="15" customHeight="1">
      <c r="A1635" t="inlineStr">
        <is>
          <t>A 5494-2019</t>
        </is>
      </c>
      <c r="B1635" s="1" t="n">
        <v>43482</v>
      </c>
      <c r="C1635" s="1" t="n">
        <v>45227</v>
      </c>
      <c r="D1635" t="inlineStr">
        <is>
          <t>VÄSTRA GÖTALANDS LÄN</t>
        </is>
      </c>
      <c r="E1635" t="inlineStr">
        <is>
          <t>BENGTSFORS</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3992-2019</t>
        </is>
      </c>
      <c r="B1636" s="1" t="n">
        <v>43482</v>
      </c>
      <c r="C1636" s="1" t="n">
        <v>45227</v>
      </c>
      <c r="D1636" t="inlineStr">
        <is>
          <t>VÄSTRA GÖTALANDS LÄN</t>
        </is>
      </c>
      <c r="E1636" t="inlineStr">
        <is>
          <t>UDDEVALLA</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4015-2019</t>
        </is>
      </c>
      <c r="B1637" s="1" t="n">
        <v>43482</v>
      </c>
      <c r="C1637" s="1" t="n">
        <v>45227</v>
      </c>
      <c r="D1637" t="inlineStr">
        <is>
          <t>VÄSTRA GÖTALANDS LÄN</t>
        </is>
      </c>
      <c r="E1637" t="inlineStr">
        <is>
          <t>TANUM</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4087-2019</t>
        </is>
      </c>
      <c r="B1638" s="1" t="n">
        <v>43482</v>
      </c>
      <c r="C1638" s="1" t="n">
        <v>45227</v>
      </c>
      <c r="D1638" t="inlineStr">
        <is>
          <t>VÄSTRA GÖTALANDS LÄN</t>
        </is>
      </c>
      <c r="E1638" t="inlineStr">
        <is>
          <t>GRÄSTORP</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5501-2019</t>
        </is>
      </c>
      <c r="B1639" s="1" t="n">
        <v>43482</v>
      </c>
      <c r="C1639" s="1" t="n">
        <v>45227</v>
      </c>
      <c r="D1639" t="inlineStr">
        <is>
          <t>VÄSTRA GÖTALANDS LÄN</t>
        </is>
      </c>
      <c r="E1639" t="inlineStr">
        <is>
          <t>ULRICEHAMN</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4085-2019</t>
        </is>
      </c>
      <c r="B1640" s="1" t="n">
        <v>43482</v>
      </c>
      <c r="C1640" s="1" t="n">
        <v>45227</v>
      </c>
      <c r="D1640" t="inlineStr">
        <is>
          <t>VÄSTRA GÖTALANDS LÄN</t>
        </is>
      </c>
      <c r="E1640" t="inlineStr">
        <is>
          <t>GRÄSTORP</t>
        </is>
      </c>
      <c r="G1640" t="n">
        <v>7.1</v>
      </c>
      <c r="H1640" t="n">
        <v>0</v>
      </c>
      <c r="I1640" t="n">
        <v>0</v>
      </c>
      <c r="J1640" t="n">
        <v>0</v>
      </c>
      <c r="K1640" t="n">
        <v>0</v>
      </c>
      <c r="L1640" t="n">
        <v>0</v>
      </c>
      <c r="M1640" t="n">
        <v>0</v>
      </c>
      <c r="N1640" t="n">
        <v>0</v>
      </c>
      <c r="O1640" t="n">
        <v>0</v>
      </c>
      <c r="P1640" t="n">
        <v>0</v>
      </c>
      <c r="Q1640" t="n">
        <v>0</v>
      </c>
      <c r="R1640" s="2" t="inlineStr"/>
    </row>
    <row r="1641" ht="15" customHeight="1">
      <c r="A1641" t="inlineStr">
        <is>
          <t>A 5480-2019</t>
        </is>
      </c>
      <c r="B1641" s="1" t="n">
        <v>43482</v>
      </c>
      <c r="C1641" s="1" t="n">
        <v>45227</v>
      </c>
      <c r="D1641" t="inlineStr">
        <is>
          <t>VÄSTRA GÖTALANDS LÄN</t>
        </is>
      </c>
      <c r="E1641" t="inlineStr">
        <is>
          <t>BENGTSFORS</t>
        </is>
      </c>
      <c r="G1641" t="n">
        <v>1.8</v>
      </c>
      <c r="H1641" t="n">
        <v>0</v>
      </c>
      <c r="I1641" t="n">
        <v>0</v>
      </c>
      <c r="J1641" t="n">
        <v>0</v>
      </c>
      <c r="K1641" t="n">
        <v>0</v>
      </c>
      <c r="L1641" t="n">
        <v>0</v>
      </c>
      <c r="M1641" t="n">
        <v>0</v>
      </c>
      <c r="N1641" t="n">
        <v>0</v>
      </c>
      <c r="O1641" t="n">
        <v>0</v>
      </c>
      <c r="P1641" t="n">
        <v>0</v>
      </c>
      <c r="Q1641" t="n">
        <v>0</v>
      </c>
      <c r="R1641" s="2" t="inlineStr"/>
    </row>
    <row r="1642" ht="15" customHeight="1">
      <c r="A1642" t="inlineStr">
        <is>
          <t>A 5496-2019</t>
        </is>
      </c>
      <c r="B1642" s="1" t="n">
        <v>43482</v>
      </c>
      <c r="C1642" s="1" t="n">
        <v>45227</v>
      </c>
      <c r="D1642" t="inlineStr">
        <is>
          <t>VÄSTRA GÖTALANDS LÄN</t>
        </is>
      </c>
      <c r="E1642" t="inlineStr">
        <is>
          <t>ULRICEHAMN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5572-2019</t>
        </is>
      </c>
      <c r="B1643" s="1" t="n">
        <v>43482</v>
      </c>
      <c r="C1643" s="1" t="n">
        <v>45227</v>
      </c>
      <c r="D1643" t="inlineStr">
        <is>
          <t>VÄSTRA GÖTALANDS LÄN</t>
        </is>
      </c>
      <c r="E1643" t="inlineStr">
        <is>
          <t>VÅRGÅRDA</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3900-2019</t>
        </is>
      </c>
      <c r="B1644" s="1" t="n">
        <v>43482</v>
      </c>
      <c r="C1644" s="1" t="n">
        <v>45227</v>
      </c>
      <c r="D1644" t="inlineStr">
        <is>
          <t>VÄSTRA GÖTALANDS LÄN</t>
        </is>
      </c>
      <c r="E1644" t="inlineStr">
        <is>
          <t>BORÅS</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4093-2019</t>
        </is>
      </c>
      <c r="B1645" s="1" t="n">
        <v>43482</v>
      </c>
      <c r="C1645" s="1" t="n">
        <v>45227</v>
      </c>
      <c r="D1645" t="inlineStr">
        <is>
          <t>VÄSTRA GÖTALANDS LÄN</t>
        </is>
      </c>
      <c r="E1645" t="inlineStr">
        <is>
          <t>TRANEMO</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5500-2019</t>
        </is>
      </c>
      <c r="B1646" s="1" t="n">
        <v>43482</v>
      </c>
      <c r="C1646" s="1" t="n">
        <v>45227</v>
      </c>
      <c r="D1646" t="inlineStr">
        <is>
          <t>VÄSTRA GÖTALANDS LÄN</t>
        </is>
      </c>
      <c r="E1646" t="inlineStr">
        <is>
          <t>BENGTSFORS</t>
        </is>
      </c>
      <c r="G1646" t="n">
        <v>3.2</v>
      </c>
      <c r="H1646" t="n">
        <v>0</v>
      </c>
      <c r="I1646" t="n">
        <v>0</v>
      </c>
      <c r="J1646" t="n">
        <v>0</v>
      </c>
      <c r="K1646" t="n">
        <v>0</v>
      </c>
      <c r="L1646" t="n">
        <v>0</v>
      </c>
      <c r="M1646" t="n">
        <v>0</v>
      </c>
      <c r="N1646" t="n">
        <v>0</v>
      </c>
      <c r="O1646" t="n">
        <v>0</v>
      </c>
      <c r="P1646" t="n">
        <v>0</v>
      </c>
      <c r="Q1646" t="n">
        <v>0</v>
      </c>
      <c r="R1646" s="2" t="inlineStr"/>
    </row>
    <row r="1647" ht="15" customHeight="1">
      <c r="A1647" t="inlineStr">
        <is>
          <t>A 4252-2019</t>
        </is>
      </c>
      <c r="B1647" s="1" t="n">
        <v>43483</v>
      </c>
      <c r="C1647" s="1" t="n">
        <v>45227</v>
      </c>
      <c r="D1647" t="inlineStr">
        <is>
          <t>VÄSTRA GÖTALANDS LÄN</t>
        </is>
      </c>
      <c r="E1647" t="inlineStr">
        <is>
          <t>TIDAHOLM</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4310-2019</t>
        </is>
      </c>
      <c r="B1648" s="1" t="n">
        <v>43483</v>
      </c>
      <c r="C1648" s="1" t="n">
        <v>45227</v>
      </c>
      <c r="D1648" t="inlineStr">
        <is>
          <t>VÄSTRA GÖTALANDS LÄN</t>
        </is>
      </c>
      <c r="E1648" t="inlineStr">
        <is>
          <t>BOLLEBYGD</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4294-2019</t>
        </is>
      </c>
      <c r="B1649" s="1" t="n">
        <v>43483</v>
      </c>
      <c r="C1649" s="1" t="n">
        <v>45227</v>
      </c>
      <c r="D1649" t="inlineStr">
        <is>
          <t>VÄSTRA GÖTALANDS LÄN</t>
        </is>
      </c>
      <c r="E1649" t="inlineStr">
        <is>
          <t>LIDKÖPING</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4367-2019</t>
        </is>
      </c>
      <c r="B1650" s="1" t="n">
        <v>43483</v>
      </c>
      <c r="C1650" s="1" t="n">
        <v>45227</v>
      </c>
      <c r="D1650" t="inlineStr">
        <is>
          <t>VÄSTRA GÖTALANDS LÄN</t>
        </is>
      </c>
      <c r="E1650" t="inlineStr">
        <is>
          <t>ALE</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6074-2019</t>
        </is>
      </c>
      <c r="B1651" s="1" t="n">
        <v>43483</v>
      </c>
      <c r="C1651" s="1" t="n">
        <v>45227</v>
      </c>
      <c r="D1651" t="inlineStr">
        <is>
          <t>VÄSTRA GÖTALANDS LÄN</t>
        </is>
      </c>
      <c r="E1651" t="inlineStr">
        <is>
          <t>BORÅS</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4406-2019</t>
        </is>
      </c>
      <c r="B1652" s="1" t="n">
        <v>43484</v>
      </c>
      <c r="C1652" s="1" t="n">
        <v>45227</v>
      </c>
      <c r="D1652" t="inlineStr">
        <is>
          <t>VÄSTRA GÖTALANDS LÄN</t>
        </is>
      </c>
      <c r="E1652" t="inlineStr">
        <is>
          <t>ÅMÅL</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4410-2019</t>
        </is>
      </c>
      <c r="B1653" s="1" t="n">
        <v>43484</v>
      </c>
      <c r="C1653" s="1" t="n">
        <v>45227</v>
      </c>
      <c r="D1653" t="inlineStr">
        <is>
          <t>VÄSTRA GÖTALANDS LÄN</t>
        </is>
      </c>
      <c r="E1653" t="inlineStr">
        <is>
          <t>ÅMÅL</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4407-2019</t>
        </is>
      </c>
      <c r="B1654" s="1" t="n">
        <v>43484</v>
      </c>
      <c r="C1654" s="1" t="n">
        <v>45227</v>
      </c>
      <c r="D1654" t="inlineStr">
        <is>
          <t>VÄSTRA GÖTALANDS LÄN</t>
        </is>
      </c>
      <c r="E1654" t="inlineStr">
        <is>
          <t>ÅMÅL</t>
        </is>
      </c>
      <c r="G1654" t="n">
        <v>2.2</v>
      </c>
      <c r="H1654" t="n">
        <v>0</v>
      </c>
      <c r="I1654" t="n">
        <v>0</v>
      </c>
      <c r="J1654" t="n">
        <v>0</v>
      </c>
      <c r="K1654" t="n">
        <v>0</v>
      </c>
      <c r="L1654" t="n">
        <v>0</v>
      </c>
      <c r="M1654" t="n">
        <v>0</v>
      </c>
      <c r="N1654" t="n">
        <v>0</v>
      </c>
      <c r="O1654" t="n">
        <v>0</v>
      </c>
      <c r="P1654" t="n">
        <v>0</v>
      </c>
      <c r="Q1654" t="n">
        <v>0</v>
      </c>
      <c r="R1654" s="2" t="inlineStr"/>
    </row>
    <row r="1655" ht="15" customHeight="1">
      <c r="A1655" t="inlineStr">
        <is>
          <t>A 4409-2019</t>
        </is>
      </c>
      <c r="B1655" s="1" t="n">
        <v>43484</v>
      </c>
      <c r="C1655" s="1" t="n">
        <v>45227</v>
      </c>
      <c r="D1655" t="inlineStr">
        <is>
          <t>VÄSTRA GÖTALANDS LÄN</t>
        </is>
      </c>
      <c r="E1655" t="inlineStr">
        <is>
          <t>ÅMÅL</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4408-2019</t>
        </is>
      </c>
      <c r="B1656" s="1" t="n">
        <v>43484</v>
      </c>
      <c r="C1656" s="1" t="n">
        <v>45227</v>
      </c>
      <c r="D1656" t="inlineStr">
        <is>
          <t>VÄSTRA GÖTALANDS LÄN</t>
        </is>
      </c>
      <c r="E1656" t="inlineStr">
        <is>
          <t>ÅMÅL</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4431-2019</t>
        </is>
      </c>
      <c r="B1657" s="1" t="n">
        <v>43485</v>
      </c>
      <c r="C1657" s="1" t="n">
        <v>45227</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4437-2019</t>
        </is>
      </c>
      <c r="B1658" s="1" t="n">
        <v>43485</v>
      </c>
      <c r="C1658" s="1" t="n">
        <v>45227</v>
      </c>
      <c r="D1658" t="inlineStr">
        <is>
          <t>VÄSTRA GÖTALANDS LÄN</t>
        </is>
      </c>
      <c r="E1658" t="inlineStr">
        <is>
          <t>BOLLEBYGD</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4518-2019</t>
        </is>
      </c>
      <c r="B1659" s="1" t="n">
        <v>43486</v>
      </c>
      <c r="C1659" s="1" t="n">
        <v>45227</v>
      </c>
      <c r="D1659" t="inlineStr">
        <is>
          <t>VÄSTRA GÖTALANDS LÄN</t>
        </is>
      </c>
      <c r="E1659" t="inlineStr">
        <is>
          <t>BENGTSFORS</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4569-2019</t>
        </is>
      </c>
      <c r="B1660" s="1" t="n">
        <v>43486</v>
      </c>
      <c r="C1660" s="1" t="n">
        <v>45227</v>
      </c>
      <c r="D1660" t="inlineStr">
        <is>
          <t>VÄSTRA GÖTALANDS LÄN</t>
        </is>
      </c>
      <c r="E1660" t="inlineStr">
        <is>
          <t>VARA</t>
        </is>
      </c>
      <c r="F1660" t="inlineStr">
        <is>
          <t>Sveaskog</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4712-2019</t>
        </is>
      </c>
      <c r="B1661" s="1" t="n">
        <v>43486</v>
      </c>
      <c r="C1661" s="1" t="n">
        <v>45227</v>
      </c>
      <c r="D1661" t="inlineStr">
        <is>
          <t>VÄSTRA GÖTALANDS LÄN</t>
        </is>
      </c>
      <c r="E1661" t="inlineStr">
        <is>
          <t>SKÖVDE</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6201-2019</t>
        </is>
      </c>
      <c r="B1662" s="1" t="n">
        <v>43486</v>
      </c>
      <c r="C1662" s="1" t="n">
        <v>45227</v>
      </c>
      <c r="D1662" t="inlineStr">
        <is>
          <t>VÄSTRA GÖTALANDS LÄN</t>
        </is>
      </c>
      <c r="E1662" t="inlineStr">
        <is>
          <t>TÖREBODA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4516-2019</t>
        </is>
      </c>
      <c r="B1663" s="1" t="n">
        <v>43486</v>
      </c>
      <c r="C1663" s="1" t="n">
        <v>45227</v>
      </c>
      <c r="D1663" t="inlineStr">
        <is>
          <t>VÄSTRA GÖTALANDS LÄN</t>
        </is>
      </c>
      <c r="E1663" t="inlineStr">
        <is>
          <t>HÄRRYDA</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4752-2019</t>
        </is>
      </c>
      <c r="B1664" s="1" t="n">
        <v>43486</v>
      </c>
      <c r="C1664" s="1" t="n">
        <v>45227</v>
      </c>
      <c r="D1664" t="inlineStr">
        <is>
          <t>VÄSTRA GÖTALANDS LÄN</t>
        </is>
      </c>
      <c r="E1664" t="inlineStr">
        <is>
          <t>ULRICEHAMN</t>
        </is>
      </c>
      <c r="G1664" t="n">
        <v>0.3</v>
      </c>
      <c r="H1664" t="n">
        <v>0</v>
      </c>
      <c r="I1664" t="n">
        <v>0</v>
      </c>
      <c r="J1664" t="n">
        <v>0</v>
      </c>
      <c r="K1664" t="n">
        <v>0</v>
      </c>
      <c r="L1664" t="n">
        <v>0</v>
      </c>
      <c r="M1664" t="n">
        <v>0</v>
      </c>
      <c r="N1664" t="n">
        <v>0</v>
      </c>
      <c r="O1664" t="n">
        <v>0</v>
      </c>
      <c r="P1664" t="n">
        <v>0</v>
      </c>
      <c r="Q1664" t="n">
        <v>0</v>
      </c>
      <c r="R1664" s="2" t="inlineStr"/>
    </row>
    <row r="1665" ht="15" customHeight="1">
      <c r="A1665" t="inlineStr">
        <is>
          <t>A 6129-2019</t>
        </is>
      </c>
      <c r="B1665" s="1" t="n">
        <v>43486</v>
      </c>
      <c r="C1665" s="1" t="n">
        <v>45227</v>
      </c>
      <c r="D1665" t="inlineStr">
        <is>
          <t>VÄSTRA GÖTALANDS LÄN</t>
        </is>
      </c>
      <c r="E1665" t="inlineStr">
        <is>
          <t>SKÖVDE</t>
        </is>
      </c>
      <c r="G1665" t="n">
        <v>5.3</v>
      </c>
      <c r="H1665" t="n">
        <v>0</v>
      </c>
      <c r="I1665" t="n">
        <v>0</v>
      </c>
      <c r="J1665" t="n">
        <v>0</v>
      </c>
      <c r="K1665" t="n">
        <v>0</v>
      </c>
      <c r="L1665" t="n">
        <v>0</v>
      </c>
      <c r="M1665" t="n">
        <v>0</v>
      </c>
      <c r="N1665" t="n">
        <v>0</v>
      </c>
      <c r="O1665" t="n">
        <v>0</v>
      </c>
      <c r="P1665" t="n">
        <v>0</v>
      </c>
      <c r="Q1665" t="n">
        <v>0</v>
      </c>
      <c r="R1665" s="2" t="inlineStr"/>
    </row>
    <row r="1666" ht="15" customHeight="1">
      <c r="A1666" t="inlineStr">
        <is>
          <t>A 6183-2019</t>
        </is>
      </c>
      <c r="B1666" s="1" t="n">
        <v>43486</v>
      </c>
      <c r="C1666" s="1" t="n">
        <v>45227</v>
      </c>
      <c r="D1666" t="inlineStr">
        <is>
          <t>VÄSTRA GÖTALANDS LÄN</t>
        </is>
      </c>
      <c r="E1666" t="inlineStr">
        <is>
          <t>TANUM</t>
        </is>
      </c>
      <c r="G1666" t="n">
        <v>7.6</v>
      </c>
      <c r="H1666" t="n">
        <v>0</v>
      </c>
      <c r="I1666" t="n">
        <v>0</v>
      </c>
      <c r="J1666" t="n">
        <v>0</v>
      </c>
      <c r="K1666" t="n">
        <v>0</v>
      </c>
      <c r="L1666" t="n">
        <v>0</v>
      </c>
      <c r="M1666" t="n">
        <v>0</v>
      </c>
      <c r="N1666" t="n">
        <v>0</v>
      </c>
      <c r="O1666" t="n">
        <v>0</v>
      </c>
      <c r="P1666" t="n">
        <v>0</v>
      </c>
      <c r="Q1666" t="n">
        <v>0</v>
      </c>
      <c r="R1666" s="2" t="inlineStr"/>
    </row>
    <row r="1667" ht="15" customHeight="1">
      <c r="A1667" t="inlineStr">
        <is>
          <t>A 6507-2019</t>
        </is>
      </c>
      <c r="B1667" s="1" t="n">
        <v>43486</v>
      </c>
      <c r="C1667" s="1" t="n">
        <v>45227</v>
      </c>
      <c r="D1667" t="inlineStr">
        <is>
          <t>VÄSTRA GÖTALANDS LÄN</t>
        </is>
      </c>
      <c r="E1667" t="inlineStr">
        <is>
          <t>TRANEMO</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4526-2019</t>
        </is>
      </c>
      <c r="B1668" s="1" t="n">
        <v>43486</v>
      </c>
      <c r="C1668" s="1" t="n">
        <v>45227</v>
      </c>
      <c r="D1668" t="inlineStr">
        <is>
          <t>VÄSTRA GÖTALANDS LÄN</t>
        </is>
      </c>
      <c r="E1668" t="inlineStr">
        <is>
          <t>HÄRRYDA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4538-2019</t>
        </is>
      </c>
      <c r="B1669" s="1" t="n">
        <v>43486</v>
      </c>
      <c r="C1669" s="1" t="n">
        <v>45227</v>
      </c>
      <c r="D1669" t="inlineStr">
        <is>
          <t>VÄSTRA GÖTALANDS LÄN</t>
        </is>
      </c>
      <c r="E1669" t="inlineStr">
        <is>
          <t>STRÖMSTAD</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4770-2019</t>
        </is>
      </c>
      <c r="B1670" s="1" t="n">
        <v>43486</v>
      </c>
      <c r="C1670" s="1" t="n">
        <v>45227</v>
      </c>
      <c r="D1670" t="inlineStr">
        <is>
          <t>VÄSTRA GÖTALANDS LÄN</t>
        </is>
      </c>
      <c r="E1670" t="inlineStr">
        <is>
          <t>SVENLJUNGA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6260-2019</t>
        </is>
      </c>
      <c r="B1671" s="1" t="n">
        <v>43486</v>
      </c>
      <c r="C1671" s="1" t="n">
        <v>45227</v>
      </c>
      <c r="D1671" t="inlineStr">
        <is>
          <t>VÄSTRA GÖTALANDS LÄN</t>
        </is>
      </c>
      <c r="E1671" t="inlineStr">
        <is>
          <t>TIBRO</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4661-2019</t>
        </is>
      </c>
      <c r="B1672" s="1" t="n">
        <v>43486</v>
      </c>
      <c r="C1672" s="1" t="n">
        <v>45227</v>
      </c>
      <c r="D1672" t="inlineStr">
        <is>
          <t>VÄSTRA GÖTALANDS LÄN</t>
        </is>
      </c>
      <c r="E1672" t="inlineStr">
        <is>
          <t>FALKÖPING</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4768-2019</t>
        </is>
      </c>
      <c r="B1673" s="1" t="n">
        <v>43486</v>
      </c>
      <c r="C1673" s="1" t="n">
        <v>45227</v>
      </c>
      <c r="D1673" t="inlineStr">
        <is>
          <t>VÄSTRA GÖTALANDS LÄN</t>
        </is>
      </c>
      <c r="E1673" t="inlineStr">
        <is>
          <t>ORUST</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6153-2019</t>
        </is>
      </c>
      <c r="B1674" s="1" t="n">
        <v>43486</v>
      </c>
      <c r="C1674" s="1" t="n">
        <v>45227</v>
      </c>
      <c r="D1674" t="inlineStr">
        <is>
          <t>VÄSTRA GÖTALANDS LÄN</t>
        </is>
      </c>
      <c r="E1674" t="inlineStr">
        <is>
          <t>UDDEVALLA</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6204-2019</t>
        </is>
      </c>
      <c r="B1675" s="1" t="n">
        <v>43486</v>
      </c>
      <c r="C1675" s="1" t="n">
        <v>45227</v>
      </c>
      <c r="D1675" t="inlineStr">
        <is>
          <t>VÄSTRA GÖTALANDS LÄN</t>
        </is>
      </c>
      <c r="E1675" t="inlineStr">
        <is>
          <t>TÖREBODA</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4925-2019</t>
        </is>
      </c>
      <c r="B1676" s="1" t="n">
        <v>43487</v>
      </c>
      <c r="C1676" s="1" t="n">
        <v>45227</v>
      </c>
      <c r="D1676" t="inlineStr">
        <is>
          <t>VÄSTRA GÖTALANDS LÄN</t>
        </is>
      </c>
      <c r="E1676" t="inlineStr">
        <is>
          <t>MARK</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4982-2019</t>
        </is>
      </c>
      <c r="B1677" s="1" t="n">
        <v>43487</v>
      </c>
      <c r="C1677" s="1" t="n">
        <v>45227</v>
      </c>
      <c r="D1677" t="inlineStr">
        <is>
          <t>VÄSTRA GÖTALANDS LÄN</t>
        </is>
      </c>
      <c r="E1677" t="inlineStr">
        <is>
          <t>TROLLHÄTTAN</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5067-2019</t>
        </is>
      </c>
      <c r="B1678" s="1" t="n">
        <v>43487</v>
      </c>
      <c r="C1678" s="1" t="n">
        <v>45227</v>
      </c>
      <c r="D1678" t="inlineStr">
        <is>
          <t>VÄSTRA GÖTALANDS LÄN</t>
        </is>
      </c>
      <c r="E1678" t="inlineStr">
        <is>
          <t>DALS-ED</t>
        </is>
      </c>
      <c r="G1678" t="n">
        <v>8.1</v>
      </c>
      <c r="H1678" t="n">
        <v>0</v>
      </c>
      <c r="I1678" t="n">
        <v>0</v>
      </c>
      <c r="J1678" t="n">
        <v>0</v>
      </c>
      <c r="K1678" t="n">
        <v>0</v>
      </c>
      <c r="L1678" t="n">
        <v>0</v>
      </c>
      <c r="M1678" t="n">
        <v>0</v>
      </c>
      <c r="N1678" t="n">
        <v>0</v>
      </c>
      <c r="O1678" t="n">
        <v>0</v>
      </c>
      <c r="P1678" t="n">
        <v>0</v>
      </c>
      <c r="Q1678" t="n">
        <v>0</v>
      </c>
      <c r="R1678" s="2" t="inlineStr"/>
    </row>
    <row r="1679" ht="15" customHeight="1">
      <c r="A1679" t="inlineStr">
        <is>
          <t>A 6617-2019</t>
        </is>
      </c>
      <c r="B1679" s="1" t="n">
        <v>43487</v>
      </c>
      <c r="C1679" s="1" t="n">
        <v>45227</v>
      </c>
      <c r="D1679" t="inlineStr">
        <is>
          <t>VÄSTRA GÖTALANDS LÄN</t>
        </is>
      </c>
      <c r="E1679" t="inlineStr">
        <is>
          <t>UDDEVALLA</t>
        </is>
      </c>
      <c r="F1679" t="inlineStr">
        <is>
          <t>Kyrkan</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6721-2019</t>
        </is>
      </c>
      <c r="B1680" s="1" t="n">
        <v>43487</v>
      </c>
      <c r="C1680" s="1" t="n">
        <v>45227</v>
      </c>
      <c r="D1680" t="inlineStr">
        <is>
          <t>VÄSTRA GÖTALANDS LÄN</t>
        </is>
      </c>
      <c r="E1680" t="inlineStr">
        <is>
          <t>HJO</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4846-2019</t>
        </is>
      </c>
      <c r="B1681" s="1" t="n">
        <v>43487</v>
      </c>
      <c r="C1681" s="1" t="n">
        <v>45227</v>
      </c>
      <c r="D1681" t="inlineStr">
        <is>
          <t>VÄSTRA GÖTALANDS LÄN</t>
        </is>
      </c>
      <c r="E1681" t="inlineStr">
        <is>
          <t>TIBRO</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6149-2019</t>
        </is>
      </c>
      <c r="B1682" s="1" t="n">
        <v>43487</v>
      </c>
      <c r="C1682" s="1" t="n">
        <v>45227</v>
      </c>
      <c r="D1682" t="inlineStr">
        <is>
          <t>VÄSTRA GÖTALANDS LÄN</t>
        </is>
      </c>
      <c r="E1682" t="inlineStr">
        <is>
          <t>VÄNERSBORG</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4844-2019</t>
        </is>
      </c>
      <c r="B1683" s="1" t="n">
        <v>43487</v>
      </c>
      <c r="C1683" s="1" t="n">
        <v>45227</v>
      </c>
      <c r="D1683" t="inlineStr">
        <is>
          <t>VÄSTRA GÖTALANDS LÄN</t>
        </is>
      </c>
      <c r="E1683" t="inlineStr">
        <is>
          <t>TIBRO</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4869-2019</t>
        </is>
      </c>
      <c r="B1684" s="1" t="n">
        <v>43487</v>
      </c>
      <c r="C1684" s="1" t="n">
        <v>45227</v>
      </c>
      <c r="D1684" t="inlineStr">
        <is>
          <t>VÄSTRA GÖTALANDS LÄN</t>
        </is>
      </c>
      <c r="E1684" t="inlineStr">
        <is>
          <t>BORÅS</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4960-2019</t>
        </is>
      </c>
      <c r="B1685" s="1" t="n">
        <v>43487</v>
      </c>
      <c r="C1685" s="1" t="n">
        <v>45227</v>
      </c>
      <c r="D1685" t="inlineStr">
        <is>
          <t>VÄSTRA GÖTALANDS LÄN</t>
        </is>
      </c>
      <c r="E1685" t="inlineStr">
        <is>
          <t>HÄRRYDA</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4971-2019</t>
        </is>
      </c>
      <c r="B1686" s="1" t="n">
        <v>43487</v>
      </c>
      <c r="C1686" s="1" t="n">
        <v>45227</v>
      </c>
      <c r="D1686" t="inlineStr">
        <is>
          <t>VÄSTRA GÖTALANDS LÄN</t>
        </is>
      </c>
      <c r="E1686" t="inlineStr">
        <is>
          <t>LERUM</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4843-2019</t>
        </is>
      </c>
      <c r="B1687" s="1" t="n">
        <v>43487</v>
      </c>
      <c r="C1687" s="1" t="n">
        <v>45227</v>
      </c>
      <c r="D1687" t="inlineStr">
        <is>
          <t>VÄSTRA GÖTALANDS LÄN</t>
        </is>
      </c>
      <c r="E1687" t="inlineStr">
        <is>
          <t>TIBRO</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4917-2019</t>
        </is>
      </c>
      <c r="B1688" s="1" t="n">
        <v>43487</v>
      </c>
      <c r="C1688" s="1" t="n">
        <v>45227</v>
      </c>
      <c r="D1688" t="inlineStr">
        <is>
          <t>VÄSTRA GÖTALANDS LÄN</t>
        </is>
      </c>
      <c r="E1688" t="inlineStr">
        <is>
          <t>TÖREBODA</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4970-2019</t>
        </is>
      </c>
      <c r="B1689" s="1" t="n">
        <v>43487</v>
      </c>
      <c r="C1689" s="1" t="n">
        <v>45227</v>
      </c>
      <c r="D1689" t="inlineStr">
        <is>
          <t>VÄSTRA GÖTALANDS LÄN</t>
        </is>
      </c>
      <c r="E1689" t="inlineStr">
        <is>
          <t>MARIESTAD</t>
        </is>
      </c>
      <c r="G1689" t="n">
        <v>3.7</v>
      </c>
      <c r="H1689" t="n">
        <v>0</v>
      </c>
      <c r="I1689" t="n">
        <v>0</v>
      </c>
      <c r="J1689" t="n">
        <v>0</v>
      </c>
      <c r="K1689" t="n">
        <v>0</v>
      </c>
      <c r="L1689" t="n">
        <v>0</v>
      </c>
      <c r="M1689" t="n">
        <v>0</v>
      </c>
      <c r="N1689" t="n">
        <v>0</v>
      </c>
      <c r="O1689" t="n">
        <v>0</v>
      </c>
      <c r="P1689" t="n">
        <v>0</v>
      </c>
      <c r="Q1689" t="n">
        <v>0</v>
      </c>
      <c r="R1689" s="2" t="inlineStr"/>
    </row>
    <row r="1690" ht="15" customHeight="1">
      <c r="A1690" t="inlineStr">
        <is>
          <t>A 5034-2019</t>
        </is>
      </c>
      <c r="B1690" s="1" t="n">
        <v>43487</v>
      </c>
      <c r="C1690" s="1" t="n">
        <v>45227</v>
      </c>
      <c r="D1690" t="inlineStr">
        <is>
          <t>VÄSTRA GÖTALANDS LÄN</t>
        </is>
      </c>
      <c r="E1690" t="inlineStr">
        <is>
          <t>STRÖMSTAD</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5045-2019</t>
        </is>
      </c>
      <c r="B1691" s="1" t="n">
        <v>43487</v>
      </c>
      <c r="C1691" s="1" t="n">
        <v>45227</v>
      </c>
      <c r="D1691" t="inlineStr">
        <is>
          <t>VÄSTRA GÖTALANDS LÄN</t>
        </is>
      </c>
      <c r="E1691" t="inlineStr">
        <is>
          <t>ÅMÅL</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6723-2019</t>
        </is>
      </c>
      <c r="B1692" s="1" t="n">
        <v>43487</v>
      </c>
      <c r="C1692" s="1" t="n">
        <v>45227</v>
      </c>
      <c r="D1692" t="inlineStr">
        <is>
          <t>VÄSTRA GÖTALANDS LÄN</t>
        </is>
      </c>
      <c r="E1692" t="inlineStr">
        <is>
          <t>ORUST</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5290-2019</t>
        </is>
      </c>
      <c r="B1693" s="1" t="n">
        <v>43488</v>
      </c>
      <c r="C1693" s="1" t="n">
        <v>45227</v>
      </c>
      <c r="D1693" t="inlineStr">
        <is>
          <t>VÄSTRA GÖTALANDS LÄN</t>
        </is>
      </c>
      <c r="E1693" t="inlineStr">
        <is>
          <t>SKÖVDE</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5341-2019</t>
        </is>
      </c>
      <c r="B1694" s="1" t="n">
        <v>43488</v>
      </c>
      <c r="C1694" s="1" t="n">
        <v>45227</v>
      </c>
      <c r="D1694" t="inlineStr">
        <is>
          <t>VÄSTRA GÖTALANDS LÄN</t>
        </is>
      </c>
      <c r="E1694" t="inlineStr">
        <is>
          <t>FÄRGELANDA</t>
        </is>
      </c>
      <c r="G1694" t="n">
        <v>4.8</v>
      </c>
      <c r="H1694" t="n">
        <v>0</v>
      </c>
      <c r="I1694" t="n">
        <v>0</v>
      </c>
      <c r="J1694" t="n">
        <v>0</v>
      </c>
      <c r="K1694" t="n">
        <v>0</v>
      </c>
      <c r="L1694" t="n">
        <v>0</v>
      </c>
      <c r="M1694" t="n">
        <v>0</v>
      </c>
      <c r="N1694" t="n">
        <v>0</v>
      </c>
      <c r="O1694" t="n">
        <v>0</v>
      </c>
      <c r="P1694" t="n">
        <v>0</v>
      </c>
      <c r="Q1694" t="n">
        <v>0</v>
      </c>
      <c r="R1694" s="2" t="inlineStr"/>
    </row>
    <row r="1695" ht="15" customHeight="1">
      <c r="A1695" t="inlineStr">
        <is>
          <t>A 5353-2019</t>
        </is>
      </c>
      <c r="B1695" s="1" t="n">
        <v>43488</v>
      </c>
      <c r="C1695" s="1" t="n">
        <v>45227</v>
      </c>
      <c r="D1695" t="inlineStr">
        <is>
          <t>VÄSTRA GÖTALANDS LÄN</t>
        </is>
      </c>
      <c r="E1695" t="inlineStr">
        <is>
          <t>TÖREBODA</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5139-2019</t>
        </is>
      </c>
      <c r="B1696" s="1" t="n">
        <v>43488</v>
      </c>
      <c r="C1696" s="1" t="n">
        <v>45227</v>
      </c>
      <c r="D1696" t="inlineStr">
        <is>
          <t>VÄSTRA GÖTALANDS LÄN</t>
        </is>
      </c>
      <c r="E1696" t="inlineStr">
        <is>
          <t>UDDEVALLA</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5157-2019</t>
        </is>
      </c>
      <c r="B1697" s="1" t="n">
        <v>43488</v>
      </c>
      <c r="C1697" s="1" t="n">
        <v>45227</v>
      </c>
      <c r="D1697" t="inlineStr">
        <is>
          <t>VÄSTRA GÖTALANDS LÄN</t>
        </is>
      </c>
      <c r="E1697" t="inlineStr">
        <is>
          <t>UDDEVALLA</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5223-2019</t>
        </is>
      </c>
      <c r="B1698" s="1" t="n">
        <v>43488</v>
      </c>
      <c r="C1698" s="1" t="n">
        <v>45227</v>
      </c>
      <c r="D1698" t="inlineStr">
        <is>
          <t>VÄSTRA GÖTALANDS LÄN</t>
        </is>
      </c>
      <c r="E1698" t="inlineStr">
        <is>
          <t>HERRLJUNGA</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5369-2019</t>
        </is>
      </c>
      <c r="B1699" s="1" t="n">
        <v>43488</v>
      </c>
      <c r="C1699" s="1" t="n">
        <v>45227</v>
      </c>
      <c r="D1699" t="inlineStr">
        <is>
          <t>VÄSTRA GÖTALANDS LÄN</t>
        </is>
      </c>
      <c r="E1699" t="inlineStr">
        <is>
          <t>GÖTENE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5383-2019</t>
        </is>
      </c>
      <c r="B1700" s="1" t="n">
        <v>43488</v>
      </c>
      <c r="C1700" s="1" t="n">
        <v>45227</v>
      </c>
      <c r="D1700" t="inlineStr">
        <is>
          <t>VÄSTRA GÖTALANDS LÄN</t>
        </is>
      </c>
      <c r="E1700" t="inlineStr">
        <is>
          <t>FÄRGELANDA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5402-2019</t>
        </is>
      </c>
      <c r="B1701" s="1" t="n">
        <v>43488</v>
      </c>
      <c r="C1701" s="1" t="n">
        <v>45227</v>
      </c>
      <c r="D1701" t="inlineStr">
        <is>
          <t>VÄSTRA GÖTALANDS LÄN</t>
        </is>
      </c>
      <c r="E1701" t="inlineStr">
        <is>
          <t>FÄRGELANDA</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6641-2019</t>
        </is>
      </c>
      <c r="B1702" s="1" t="n">
        <v>43488</v>
      </c>
      <c r="C1702" s="1" t="n">
        <v>45227</v>
      </c>
      <c r="D1702" t="inlineStr">
        <is>
          <t>VÄSTRA GÖTALANDS LÄN</t>
        </is>
      </c>
      <c r="E1702" t="inlineStr">
        <is>
          <t>TANUM</t>
        </is>
      </c>
      <c r="G1702" t="n">
        <v>12.1</v>
      </c>
      <c r="H1702" t="n">
        <v>0</v>
      </c>
      <c r="I1702" t="n">
        <v>0</v>
      </c>
      <c r="J1702" t="n">
        <v>0</v>
      </c>
      <c r="K1702" t="n">
        <v>0</v>
      </c>
      <c r="L1702" t="n">
        <v>0</v>
      </c>
      <c r="M1702" t="n">
        <v>0</v>
      </c>
      <c r="N1702" t="n">
        <v>0</v>
      </c>
      <c r="O1702" t="n">
        <v>0</v>
      </c>
      <c r="P1702" t="n">
        <v>0</v>
      </c>
      <c r="Q1702" t="n">
        <v>0</v>
      </c>
      <c r="R1702" s="2" t="inlineStr"/>
    </row>
    <row r="1703" ht="15" customHeight="1">
      <c r="A1703" t="inlineStr">
        <is>
          <t>A 5138-2019</t>
        </is>
      </c>
      <c r="B1703" s="1" t="n">
        <v>43488</v>
      </c>
      <c r="C1703" s="1" t="n">
        <v>45227</v>
      </c>
      <c r="D1703" t="inlineStr">
        <is>
          <t>VÄSTRA GÖTALANDS LÄN</t>
        </is>
      </c>
      <c r="E1703" t="inlineStr">
        <is>
          <t>UDDEVALLA</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5179-2019</t>
        </is>
      </c>
      <c r="B1704" s="1" t="n">
        <v>43488</v>
      </c>
      <c r="C1704" s="1" t="n">
        <v>45227</v>
      </c>
      <c r="D1704" t="inlineStr">
        <is>
          <t>VÄSTRA GÖTALANDS LÄN</t>
        </is>
      </c>
      <c r="E1704" t="inlineStr">
        <is>
          <t>HJO</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5293-2019</t>
        </is>
      </c>
      <c r="B1705" s="1" t="n">
        <v>43488</v>
      </c>
      <c r="C1705" s="1" t="n">
        <v>45227</v>
      </c>
      <c r="D1705" t="inlineStr">
        <is>
          <t>VÄSTRA GÖTALANDS LÄN</t>
        </is>
      </c>
      <c r="E1705" t="inlineStr">
        <is>
          <t>SKÖVDE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5342-2019</t>
        </is>
      </c>
      <c r="B1706" s="1" t="n">
        <v>43488</v>
      </c>
      <c r="C1706" s="1" t="n">
        <v>45227</v>
      </c>
      <c r="D1706" t="inlineStr">
        <is>
          <t>VÄSTRA GÖTALANDS LÄN</t>
        </is>
      </c>
      <c r="E1706" t="inlineStr">
        <is>
          <t>BOLLEBYGD</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5392-2019</t>
        </is>
      </c>
      <c r="B1707" s="1" t="n">
        <v>43488</v>
      </c>
      <c r="C1707" s="1" t="n">
        <v>45227</v>
      </c>
      <c r="D1707" t="inlineStr">
        <is>
          <t>VÄSTRA GÖTALANDS LÄN</t>
        </is>
      </c>
      <c r="E1707" t="inlineStr">
        <is>
          <t>FÄRGELANDA</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5175-2019</t>
        </is>
      </c>
      <c r="B1708" s="1" t="n">
        <v>43488</v>
      </c>
      <c r="C1708" s="1" t="n">
        <v>45227</v>
      </c>
      <c r="D1708" t="inlineStr">
        <is>
          <t>VÄSTRA GÖTALANDS LÄN</t>
        </is>
      </c>
      <c r="E1708" t="inlineStr">
        <is>
          <t>SKÖVDE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5194-2019</t>
        </is>
      </c>
      <c r="B1709" s="1" t="n">
        <v>43488</v>
      </c>
      <c r="C1709" s="1" t="n">
        <v>45227</v>
      </c>
      <c r="D1709" t="inlineStr">
        <is>
          <t>VÄSTRA GÖTALANDS LÄN</t>
        </is>
      </c>
      <c r="E1709" t="inlineStr">
        <is>
          <t>BORÅS</t>
        </is>
      </c>
      <c r="G1709" t="n">
        <v>9</v>
      </c>
      <c r="H1709" t="n">
        <v>0</v>
      </c>
      <c r="I1709" t="n">
        <v>0</v>
      </c>
      <c r="J1709" t="n">
        <v>0</v>
      </c>
      <c r="K1709" t="n">
        <v>0</v>
      </c>
      <c r="L1709" t="n">
        <v>0</v>
      </c>
      <c r="M1709" t="n">
        <v>0</v>
      </c>
      <c r="N1709" t="n">
        <v>0</v>
      </c>
      <c r="O1709" t="n">
        <v>0</v>
      </c>
      <c r="P1709" t="n">
        <v>0</v>
      </c>
      <c r="Q1709" t="n">
        <v>0</v>
      </c>
      <c r="R1709" s="2" t="inlineStr"/>
    </row>
    <row r="1710" ht="15" customHeight="1">
      <c r="A1710" t="inlineStr">
        <is>
          <t>A 5545-2019</t>
        </is>
      </c>
      <c r="B1710" s="1" t="n">
        <v>43489</v>
      </c>
      <c r="C1710" s="1" t="n">
        <v>45227</v>
      </c>
      <c r="D1710" t="inlineStr">
        <is>
          <t>VÄSTRA GÖTALANDS LÄN</t>
        </is>
      </c>
      <c r="E1710" t="inlineStr">
        <is>
          <t>MARIESTAD</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5555-2019</t>
        </is>
      </c>
      <c r="B1711" s="1" t="n">
        <v>43489</v>
      </c>
      <c r="C1711" s="1" t="n">
        <v>45227</v>
      </c>
      <c r="D1711" t="inlineStr">
        <is>
          <t>VÄSTRA GÖTALANDS LÄN</t>
        </is>
      </c>
      <c r="E1711" t="inlineStr">
        <is>
          <t>TANUM</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5647-2019</t>
        </is>
      </c>
      <c r="B1712" s="1" t="n">
        <v>43489</v>
      </c>
      <c r="C1712" s="1" t="n">
        <v>45227</v>
      </c>
      <c r="D1712" t="inlineStr">
        <is>
          <t>VÄSTRA GÖTALANDS LÄN</t>
        </is>
      </c>
      <c r="E1712" t="inlineStr">
        <is>
          <t>TROLLHÄTTAN</t>
        </is>
      </c>
      <c r="G1712" t="n">
        <v>3.8</v>
      </c>
      <c r="H1712" t="n">
        <v>0</v>
      </c>
      <c r="I1712" t="n">
        <v>0</v>
      </c>
      <c r="J1712" t="n">
        <v>0</v>
      </c>
      <c r="K1712" t="n">
        <v>0</v>
      </c>
      <c r="L1712" t="n">
        <v>0</v>
      </c>
      <c r="M1712" t="n">
        <v>0</v>
      </c>
      <c r="N1712" t="n">
        <v>0</v>
      </c>
      <c r="O1712" t="n">
        <v>0</v>
      </c>
      <c r="P1712" t="n">
        <v>0</v>
      </c>
      <c r="Q1712" t="n">
        <v>0</v>
      </c>
      <c r="R1712" s="2" t="inlineStr"/>
    </row>
    <row r="1713" ht="15" customHeight="1">
      <c r="A1713" t="inlineStr">
        <is>
          <t>A 5702-2019</t>
        </is>
      </c>
      <c r="B1713" s="1" t="n">
        <v>43489</v>
      </c>
      <c r="C1713" s="1" t="n">
        <v>45227</v>
      </c>
      <c r="D1713" t="inlineStr">
        <is>
          <t>VÄSTRA GÖTALANDS LÄN</t>
        </is>
      </c>
      <c r="E1713" t="inlineStr">
        <is>
          <t>ULRICEHAMN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7151-2019</t>
        </is>
      </c>
      <c r="B1714" s="1" t="n">
        <v>43489</v>
      </c>
      <c r="C1714" s="1" t="n">
        <v>45227</v>
      </c>
      <c r="D1714" t="inlineStr">
        <is>
          <t>VÄSTRA GÖTALANDS LÄN</t>
        </is>
      </c>
      <c r="E1714" t="inlineStr">
        <is>
          <t>MARK</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7164-2019</t>
        </is>
      </c>
      <c r="B1715" s="1" t="n">
        <v>43489</v>
      </c>
      <c r="C1715" s="1" t="n">
        <v>45227</v>
      </c>
      <c r="D1715" t="inlineStr">
        <is>
          <t>VÄSTRA GÖTALANDS LÄN</t>
        </is>
      </c>
      <c r="E1715" t="inlineStr">
        <is>
          <t>STRÖMSTAD</t>
        </is>
      </c>
      <c r="G1715" t="n">
        <v>9.5</v>
      </c>
      <c r="H1715" t="n">
        <v>0</v>
      </c>
      <c r="I1715" t="n">
        <v>0</v>
      </c>
      <c r="J1715" t="n">
        <v>0</v>
      </c>
      <c r="K1715" t="n">
        <v>0</v>
      </c>
      <c r="L1715" t="n">
        <v>0</v>
      </c>
      <c r="M1715" t="n">
        <v>0</v>
      </c>
      <c r="N1715" t="n">
        <v>0</v>
      </c>
      <c r="O1715" t="n">
        <v>0</v>
      </c>
      <c r="P1715" t="n">
        <v>0</v>
      </c>
      <c r="Q1715" t="n">
        <v>0</v>
      </c>
      <c r="R1715" s="2" t="inlineStr"/>
    </row>
    <row r="1716" ht="15" customHeight="1">
      <c r="A1716" t="inlineStr">
        <is>
          <t>A 7119-2019</t>
        </is>
      </c>
      <c r="B1716" s="1" t="n">
        <v>43489</v>
      </c>
      <c r="C1716" s="1" t="n">
        <v>45227</v>
      </c>
      <c r="D1716" t="inlineStr">
        <is>
          <t>VÄSTRA GÖTALANDS LÄN</t>
        </is>
      </c>
      <c r="E1716" t="inlineStr">
        <is>
          <t>STRÖMSTAD</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7142-2019</t>
        </is>
      </c>
      <c r="B1717" s="1" t="n">
        <v>43489</v>
      </c>
      <c r="C1717" s="1" t="n">
        <v>45227</v>
      </c>
      <c r="D1717" t="inlineStr">
        <is>
          <t>VÄSTRA GÖTALANDS LÄN</t>
        </is>
      </c>
      <c r="E1717" t="inlineStr">
        <is>
          <t>LIDKÖPING</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7262-2019</t>
        </is>
      </c>
      <c r="B1718" s="1" t="n">
        <v>43489</v>
      </c>
      <c r="C1718" s="1" t="n">
        <v>45227</v>
      </c>
      <c r="D1718" t="inlineStr">
        <is>
          <t>VÄSTRA GÖTALANDS LÄN</t>
        </is>
      </c>
      <c r="E1718" t="inlineStr">
        <is>
          <t>ALINGSÅS</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5554-2019</t>
        </is>
      </c>
      <c r="B1719" s="1" t="n">
        <v>43489</v>
      </c>
      <c r="C1719" s="1" t="n">
        <v>45227</v>
      </c>
      <c r="D1719" t="inlineStr">
        <is>
          <t>VÄSTRA GÖTALANDS LÄN</t>
        </is>
      </c>
      <c r="E1719" t="inlineStr">
        <is>
          <t>MARIESTAD</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5701-2019</t>
        </is>
      </c>
      <c r="B1720" s="1" t="n">
        <v>43489</v>
      </c>
      <c r="C1720" s="1" t="n">
        <v>45227</v>
      </c>
      <c r="D1720" t="inlineStr">
        <is>
          <t>VÄSTRA GÖTALANDS LÄN</t>
        </is>
      </c>
      <c r="E1720" t="inlineStr">
        <is>
          <t>ULRICEHAMN</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6910-2019</t>
        </is>
      </c>
      <c r="B1721" s="1" t="n">
        <v>43489</v>
      </c>
      <c r="C1721" s="1" t="n">
        <v>45227</v>
      </c>
      <c r="D1721" t="inlineStr">
        <is>
          <t>VÄSTRA GÖTALANDS LÄN</t>
        </is>
      </c>
      <c r="E1721" t="inlineStr">
        <is>
          <t>TÖREBODA</t>
        </is>
      </c>
      <c r="G1721" t="n">
        <v>8.5</v>
      </c>
      <c r="H1721" t="n">
        <v>0</v>
      </c>
      <c r="I1721" t="n">
        <v>0</v>
      </c>
      <c r="J1721" t="n">
        <v>0</v>
      </c>
      <c r="K1721" t="n">
        <v>0</v>
      </c>
      <c r="L1721" t="n">
        <v>0</v>
      </c>
      <c r="M1721" t="n">
        <v>0</v>
      </c>
      <c r="N1721" t="n">
        <v>0</v>
      </c>
      <c r="O1721" t="n">
        <v>0</v>
      </c>
      <c r="P1721" t="n">
        <v>0</v>
      </c>
      <c r="Q1721" t="n">
        <v>0</v>
      </c>
      <c r="R1721" s="2" t="inlineStr"/>
    </row>
    <row r="1722" ht="15" customHeight="1">
      <c r="A1722" t="inlineStr">
        <is>
          <t>A 6984-2019</t>
        </is>
      </c>
      <c r="B1722" s="1" t="n">
        <v>43489</v>
      </c>
      <c r="C1722" s="1" t="n">
        <v>45227</v>
      </c>
      <c r="D1722" t="inlineStr">
        <is>
          <t>VÄSTRA GÖTALANDS LÄN</t>
        </is>
      </c>
      <c r="E1722" t="inlineStr">
        <is>
          <t>BORÅS</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5718-2019</t>
        </is>
      </c>
      <c r="B1723" s="1" t="n">
        <v>43490</v>
      </c>
      <c r="C1723" s="1" t="n">
        <v>45227</v>
      </c>
      <c r="D1723" t="inlineStr">
        <is>
          <t>VÄSTRA GÖTALANDS LÄN</t>
        </is>
      </c>
      <c r="E1723" t="inlineStr">
        <is>
          <t>BOLLEBYGD</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5785-2019</t>
        </is>
      </c>
      <c r="B1724" s="1" t="n">
        <v>43490</v>
      </c>
      <c r="C1724" s="1" t="n">
        <v>45227</v>
      </c>
      <c r="D1724" t="inlineStr">
        <is>
          <t>VÄSTRA GÖTALANDS LÄN</t>
        </is>
      </c>
      <c r="E1724" t="inlineStr">
        <is>
          <t>VÄNERSBORG</t>
        </is>
      </c>
      <c r="G1724" t="n">
        <v>4.1</v>
      </c>
      <c r="H1724" t="n">
        <v>0</v>
      </c>
      <c r="I1724" t="n">
        <v>0</v>
      </c>
      <c r="J1724" t="n">
        <v>0</v>
      </c>
      <c r="K1724" t="n">
        <v>0</v>
      </c>
      <c r="L1724" t="n">
        <v>0</v>
      </c>
      <c r="M1724" t="n">
        <v>0</v>
      </c>
      <c r="N1724" t="n">
        <v>0</v>
      </c>
      <c r="O1724" t="n">
        <v>0</v>
      </c>
      <c r="P1724" t="n">
        <v>0</v>
      </c>
      <c r="Q1724" t="n">
        <v>0</v>
      </c>
      <c r="R1724" s="2" t="inlineStr"/>
    </row>
    <row r="1725" ht="15" customHeight="1">
      <c r="A1725" t="inlineStr">
        <is>
          <t>A 5825-2019</t>
        </is>
      </c>
      <c r="B1725" s="1" t="n">
        <v>43490</v>
      </c>
      <c r="C1725" s="1" t="n">
        <v>45227</v>
      </c>
      <c r="D1725" t="inlineStr">
        <is>
          <t>VÄSTRA GÖTALANDS LÄN</t>
        </is>
      </c>
      <c r="E1725" t="inlineStr">
        <is>
          <t>DALS-ED</t>
        </is>
      </c>
      <c r="G1725" t="n">
        <v>8.6</v>
      </c>
      <c r="H1725" t="n">
        <v>0</v>
      </c>
      <c r="I1725" t="n">
        <v>0</v>
      </c>
      <c r="J1725" t="n">
        <v>0</v>
      </c>
      <c r="K1725" t="n">
        <v>0</v>
      </c>
      <c r="L1725" t="n">
        <v>0</v>
      </c>
      <c r="M1725" t="n">
        <v>0</v>
      </c>
      <c r="N1725" t="n">
        <v>0</v>
      </c>
      <c r="O1725" t="n">
        <v>0</v>
      </c>
      <c r="P1725" t="n">
        <v>0</v>
      </c>
      <c r="Q1725" t="n">
        <v>0</v>
      </c>
      <c r="R1725" s="2" t="inlineStr"/>
    </row>
    <row r="1726" ht="15" customHeight="1">
      <c r="A1726" t="inlineStr">
        <is>
          <t>A 5852-2019</t>
        </is>
      </c>
      <c r="B1726" s="1" t="n">
        <v>43490</v>
      </c>
      <c r="C1726" s="1" t="n">
        <v>45227</v>
      </c>
      <c r="D1726" t="inlineStr">
        <is>
          <t>VÄSTRA GÖTALANDS LÄN</t>
        </is>
      </c>
      <c r="E1726" t="inlineStr">
        <is>
          <t>FALKÖPING</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5713-2019</t>
        </is>
      </c>
      <c r="B1727" s="1" t="n">
        <v>43490</v>
      </c>
      <c r="C1727" s="1" t="n">
        <v>45227</v>
      </c>
      <c r="D1727" t="inlineStr">
        <is>
          <t>VÄSTRA GÖTALANDS LÄN</t>
        </is>
      </c>
      <c r="E1727" t="inlineStr">
        <is>
          <t>BOLLEBYGD</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5823-2019</t>
        </is>
      </c>
      <c r="B1728" s="1" t="n">
        <v>43490</v>
      </c>
      <c r="C1728" s="1" t="n">
        <v>45227</v>
      </c>
      <c r="D1728" t="inlineStr">
        <is>
          <t>VÄSTRA GÖTALANDS LÄN</t>
        </is>
      </c>
      <c r="E1728" t="inlineStr">
        <is>
          <t>DALS-ED</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5849-2019</t>
        </is>
      </c>
      <c r="B1729" s="1" t="n">
        <v>43490</v>
      </c>
      <c r="C1729" s="1" t="n">
        <v>45227</v>
      </c>
      <c r="D1729" t="inlineStr">
        <is>
          <t>VÄSTRA GÖTALANDS LÄN</t>
        </is>
      </c>
      <c r="E1729" t="inlineStr">
        <is>
          <t>KUNGÄLV</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5710-2019</t>
        </is>
      </c>
      <c r="B1730" s="1" t="n">
        <v>43490</v>
      </c>
      <c r="C1730" s="1" t="n">
        <v>45227</v>
      </c>
      <c r="D1730" t="inlineStr">
        <is>
          <t>VÄSTRA GÖTALANDS LÄN</t>
        </is>
      </c>
      <c r="E1730" t="inlineStr">
        <is>
          <t>LILLA EDET</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5719-2019</t>
        </is>
      </c>
      <c r="B1731" s="1" t="n">
        <v>43490</v>
      </c>
      <c r="C1731" s="1" t="n">
        <v>45227</v>
      </c>
      <c r="D1731" t="inlineStr">
        <is>
          <t>VÄSTRA GÖTALANDS LÄN</t>
        </is>
      </c>
      <c r="E1731" t="inlineStr">
        <is>
          <t>LILLA EDET</t>
        </is>
      </c>
      <c r="G1731" t="n">
        <v>6.9</v>
      </c>
      <c r="H1731" t="n">
        <v>0</v>
      </c>
      <c r="I1731" t="n">
        <v>0</v>
      </c>
      <c r="J1731" t="n">
        <v>0</v>
      </c>
      <c r="K1731" t="n">
        <v>0</v>
      </c>
      <c r="L1731" t="n">
        <v>0</v>
      </c>
      <c r="M1731" t="n">
        <v>0</v>
      </c>
      <c r="N1731" t="n">
        <v>0</v>
      </c>
      <c r="O1731" t="n">
        <v>0</v>
      </c>
      <c r="P1731" t="n">
        <v>0</v>
      </c>
      <c r="Q1731" t="n">
        <v>0</v>
      </c>
      <c r="R1731" s="2" t="inlineStr"/>
    </row>
    <row r="1732" ht="15" customHeight="1">
      <c r="A1732" t="inlineStr">
        <is>
          <t>A 5786-2019</t>
        </is>
      </c>
      <c r="B1732" s="1" t="n">
        <v>43490</v>
      </c>
      <c r="C1732" s="1" t="n">
        <v>45227</v>
      </c>
      <c r="D1732" t="inlineStr">
        <is>
          <t>VÄSTRA GÖTALANDS LÄN</t>
        </is>
      </c>
      <c r="E1732" t="inlineStr">
        <is>
          <t>ALINGSÅS</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5826-2019</t>
        </is>
      </c>
      <c r="B1733" s="1" t="n">
        <v>43490</v>
      </c>
      <c r="C1733" s="1" t="n">
        <v>45227</v>
      </c>
      <c r="D1733" t="inlineStr">
        <is>
          <t>VÄSTRA GÖTALANDS LÄN</t>
        </is>
      </c>
      <c r="E1733" t="inlineStr">
        <is>
          <t>VÅRGÅRDA</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5848-2019</t>
        </is>
      </c>
      <c r="B1734" s="1" t="n">
        <v>43490</v>
      </c>
      <c r="C1734" s="1" t="n">
        <v>45227</v>
      </c>
      <c r="D1734" t="inlineStr">
        <is>
          <t>VÄSTRA GÖTALANDS LÄN</t>
        </is>
      </c>
      <c r="E1734" t="inlineStr">
        <is>
          <t>GÖTENE</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5897-2019</t>
        </is>
      </c>
      <c r="B1735" s="1" t="n">
        <v>43490</v>
      </c>
      <c r="C1735" s="1" t="n">
        <v>45227</v>
      </c>
      <c r="D1735" t="inlineStr">
        <is>
          <t>VÄSTRA GÖTALANDS LÄN</t>
        </is>
      </c>
      <c r="E1735" t="inlineStr">
        <is>
          <t>FALKÖPING</t>
        </is>
      </c>
      <c r="G1735" t="n">
        <v>1.2</v>
      </c>
      <c r="H1735" t="n">
        <v>0</v>
      </c>
      <c r="I1735" t="n">
        <v>0</v>
      </c>
      <c r="J1735" t="n">
        <v>0</v>
      </c>
      <c r="K1735" t="n">
        <v>0</v>
      </c>
      <c r="L1735" t="n">
        <v>0</v>
      </c>
      <c r="M1735" t="n">
        <v>0</v>
      </c>
      <c r="N1735" t="n">
        <v>0</v>
      </c>
      <c r="O1735" t="n">
        <v>0</v>
      </c>
      <c r="P1735" t="n">
        <v>0</v>
      </c>
      <c r="Q1735" t="n">
        <v>0</v>
      </c>
      <c r="R1735" s="2" t="inlineStr"/>
    </row>
    <row r="1736" ht="15" customHeight="1">
      <c r="A1736" t="inlineStr">
        <is>
          <t>A 5952-2019</t>
        </is>
      </c>
      <c r="B1736" s="1" t="n">
        <v>43491</v>
      </c>
      <c r="C1736" s="1" t="n">
        <v>45227</v>
      </c>
      <c r="D1736" t="inlineStr">
        <is>
          <t>VÄSTRA GÖTALANDS LÄN</t>
        </is>
      </c>
      <c r="E1736" t="inlineStr">
        <is>
          <t>HERRLJUNGA</t>
        </is>
      </c>
      <c r="G1736" t="n">
        <v>0.3</v>
      </c>
      <c r="H1736" t="n">
        <v>0</v>
      </c>
      <c r="I1736" t="n">
        <v>0</v>
      </c>
      <c r="J1736" t="n">
        <v>0</v>
      </c>
      <c r="K1736" t="n">
        <v>0</v>
      </c>
      <c r="L1736" t="n">
        <v>0</v>
      </c>
      <c r="M1736" t="n">
        <v>0</v>
      </c>
      <c r="N1736" t="n">
        <v>0</v>
      </c>
      <c r="O1736" t="n">
        <v>0</v>
      </c>
      <c r="P1736" t="n">
        <v>0</v>
      </c>
      <c r="Q1736" t="n">
        <v>0</v>
      </c>
      <c r="R1736" s="2" t="inlineStr"/>
    </row>
    <row r="1737" ht="15" customHeight="1">
      <c r="A1737" t="inlineStr">
        <is>
          <t>A 5954-2019</t>
        </is>
      </c>
      <c r="B1737" s="1" t="n">
        <v>43492</v>
      </c>
      <c r="C1737" s="1" t="n">
        <v>45227</v>
      </c>
      <c r="D1737" t="inlineStr">
        <is>
          <t>VÄSTRA GÖTALANDS LÄN</t>
        </is>
      </c>
      <c r="E1737" t="inlineStr">
        <is>
          <t>KUNGÄLV</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5979-2019</t>
        </is>
      </c>
      <c r="B1738" s="1" t="n">
        <v>43493</v>
      </c>
      <c r="C1738" s="1" t="n">
        <v>45227</v>
      </c>
      <c r="D1738" t="inlineStr">
        <is>
          <t>VÄSTRA GÖTALANDS LÄN</t>
        </is>
      </c>
      <c r="E1738" t="inlineStr">
        <is>
          <t>FÄRGELANDA</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6199-2019</t>
        </is>
      </c>
      <c r="B1739" s="1" t="n">
        <v>43493</v>
      </c>
      <c r="C1739" s="1" t="n">
        <v>45227</v>
      </c>
      <c r="D1739" t="inlineStr">
        <is>
          <t>VÄSTRA GÖTALANDS LÄN</t>
        </is>
      </c>
      <c r="E1739" t="inlineStr">
        <is>
          <t>HÄRRYDA</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7489-2019</t>
        </is>
      </c>
      <c r="B1740" s="1" t="n">
        <v>43493</v>
      </c>
      <c r="C1740" s="1" t="n">
        <v>45227</v>
      </c>
      <c r="D1740" t="inlineStr">
        <is>
          <t>VÄSTRA GÖTALANDS LÄN</t>
        </is>
      </c>
      <c r="E1740" t="inlineStr">
        <is>
          <t>KARLSBORG</t>
        </is>
      </c>
      <c r="G1740" t="n">
        <v>7</v>
      </c>
      <c r="H1740" t="n">
        <v>0</v>
      </c>
      <c r="I1740" t="n">
        <v>0</v>
      </c>
      <c r="J1740" t="n">
        <v>0</v>
      </c>
      <c r="K1740" t="n">
        <v>0</v>
      </c>
      <c r="L1740" t="n">
        <v>0</v>
      </c>
      <c r="M1740" t="n">
        <v>0</v>
      </c>
      <c r="N1740" t="n">
        <v>0</v>
      </c>
      <c r="O1740" t="n">
        <v>0</v>
      </c>
      <c r="P1740" t="n">
        <v>0</v>
      </c>
      <c r="Q1740" t="n">
        <v>0</v>
      </c>
      <c r="R1740" s="2" t="inlineStr"/>
    </row>
    <row r="1741" ht="15" customHeight="1">
      <c r="A1741" t="inlineStr">
        <is>
          <t>A 7770-2019</t>
        </is>
      </c>
      <c r="B1741" s="1" t="n">
        <v>43493</v>
      </c>
      <c r="C1741" s="1" t="n">
        <v>45227</v>
      </c>
      <c r="D1741" t="inlineStr">
        <is>
          <t>VÄSTRA GÖTALANDS LÄN</t>
        </is>
      </c>
      <c r="E1741" t="inlineStr">
        <is>
          <t>BORÅS</t>
        </is>
      </c>
      <c r="F1741" t="inlineStr">
        <is>
          <t>Kommuner</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7841-2019</t>
        </is>
      </c>
      <c r="B1742" s="1" t="n">
        <v>43493</v>
      </c>
      <c r="C1742" s="1" t="n">
        <v>45227</v>
      </c>
      <c r="D1742" t="inlineStr">
        <is>
          <t>VÄSTRA GÖTALANDS LÄN</t>
        </is>
      </c>
      <c r="E1742" t="inlineStr">
        <is>
          <t>BORÅS</t>
        </is>
      </c>
      <c r="F1742" t="inlineStr">
        <is>
          <t>Kommuner</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5964-2019</t>
        </is>
      </c>
      <c r="B1743" s="1" t="n">
        <v>43493</v>
      </c>
      <c r="C1743" s="1" t="n">
        <v>45227</v>
      </c>
      <c r="D1743" t="inlineStr">
        <is>
          <t>VÄSTRA GÖTALANDS LÄN</t>
        </is>
      </c>
      <c r="E1743" t="inlineStr">
        <is>
          <t>ORUST</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6151-2019</t>
        </is>
      </c>
      <c r="B1744" s="1" t="n">
        <v>43493</v>
      </c>
      <c r="C1744" s="1" t="n">
        <v>45227</v>
      </c>
      <c r="D1744" t="inlineStr">
        <is>
          <t>VÄSTRA GÖTALANDS LÄN</t>
        </is>
      </c>
      <c r="E1744" t="inlineStr">
        <is>
          <t>HÄRRYDA</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7813-2019</t>
        </is>
      </c>
      <c r="B1745" s="1" t="n">
        <v>43493</v>
      </c>
      <c r="C1745" s="1" t="n">
        <v>45227</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6115-2019</t>
        </is>
      </c>
      <c r="B1746" s="1" t="n">
        <v>43493</v>
      </c>
      <c r="C1746" s="1" t="n">
        <v>45227</v>
      </c>
      <c r="D1746" t="inlineStr">
        <is>
          <t>VÄSTRA GÖTALANDS LÄN</t>
        </is>
      </c>
      <c r="E1746" t="inlineStr">
        <is>
          <t>HÄRRYDA</t>
        </is>
      </c>
      <c r="G1746" t="n">
        <v>1.3</v>
      </c>
      <c r="H1746" t="n">
        <v>0</v>
      </c>
      <c r="I1746" t="n">
        <v>0</v>
      </c>
      <c r="J1746" t="n">
        <v>0</v>
      </c>
      <c r="K1746" t="n">
        <v>0</v>
      </c>
      <c r="L1746" t="n">
        <v>0</v>
      </c>
      <c r="M1746" t="n">
        <v>0</v>
      </c>
      <c r="N1746" t="n">
        <v>0</v>
      </c>
      <c r="O1746" t="n">
        <v>0</v>
      </c>
      <c r="P1746" t="n">
        <v>0</v>
      </c>
      <c r="Q1746" t="n">
        <v>0</v>
      </c>
      <c r="R1746" s="2" t="inlineStr"/>
    </row>
    <row r="1747" ht="15" customHeight="1">
      <c r="A1747" t="inlineStr">
        <is>
          <t>A 6327-2019</t>
        </is>
      </c>
      <c r="B1747" s="1" t="n">
        <v>43493</v>
      </c>
      <c r="C1747" s="1" t="n">
        <v>45227</v>
      </c>
      <c r="D1747" t="inlineStr">
        <is>
          <t>VÄSTRA GÖTALANDS LÄN</t>
        </is>
      </c>
      <c r="E1747" t="inlineStr">
        <is>
          <t>TÖREBODA</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7668-2019</t>
        </is>
      </c>
      <c r="B1748" s="1" t="n">
        <v>43493</v>
      </c>
      <c r="C1748" s="1" t="n">
        <v>45227</v>
      </c>
      <c r="D1748" t="inlineStr">
        <is>
          <t>VÄSTRA GÖTALANDS LÄN</t>
        </is>
      </c>
      <c r="E1748" t="inlineStr">
        <is>
          <t>VÄNERSBORG</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7747-2019</t>
        </is>
      </c>
      <c r="B1749" s="1" t="n">
        <v>43493</v>
      </c>
      <c r="C1749" s="1" t="n">
        <v>45227</v>
      </c>
      <c r="D1749" t="inlineStr">
        <is>
          <t>VÄSTRA GÖTALANDS LÄN</t>
        </is>
      </c>
      <c r="E1749" t="inlineStr">
        <is>
          <t>BORÅS</t>
        </is>
      </c>
      <c r="F1749" t="inlineStr">
        <is>
          <t>Kommuner</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7806-2019</t>
        </is>
      </c>
      <c r="B1750" s="1" t="n">
        <v>43493</v>
      </c>
      <c r="C1750" s="1" t="n">
        <v>45227</v>
      </c>
      <c r="D1750" t="inlineStr">
        <is>
          <t>VÄSTRA GÖTALANDS LÄN</t>
        </is>
      </c>
      <c r="E1750" t="inlineStr">
        <is>
          <t>BORÅS</t>
        </is>
      </c>
      <c r="F1750" t="inlineStr">
        <is>
          <t>Kommuner</t>
        </is>
      </c>
      <c r="G1750" t="n">
        <v>4.1</v>
      </c>
      <c r="H1750" t="n">
        <v>0</v>
      </c>
      <c r="I1750" t="n">
        <v>0</v>
      </c>
      <c r="J1750" t="n">
        <v>0</v>
      </c>
      <c r="K1750" t="n">
        <v>0</v>
      </c>
      <c r="L1750" t="n">
        <v>0</v>
      </c>
      <c r="M1750" t="n">
        <v>0</v>
      </c>
      <c r="N1750" t="n">
        <v>0</v>
      </c>
      <c r="O1750" t="n">
        <v>0</v>
      </c>
      <c r="P1750" t="n">
        <v>0</v>
      </c>
      <c r="Q1750" t="n">
        <v>0</v>
      </c>
      <c r="R1750" s="2" t="inlineStr"/>
    </row>
    <row r="1751" ht="15" customHeight="1">
      <c r="A1751" t="inlineStr">
        <is>
          <t>A 6193-2019</t>
        </is>
      </c>
      <c r="B1751" s="1" t="n">
        <v>43493</v>
      </c>
      <c r="C1751" s="1" t="n">
        <v>45227</v>
      </c>
      <c r="D1751" t="inlineStr">
        <is>
          <t>VÄSTRA GÖTALANDS LÄN</t>
        </is>
      </c>
      <c r="E1751" t="inlineStr">
        <is>
          <t>BORÅS</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6288-2019</t>
        </is>
      </c>
      <c r="B1752" s="1" t="n">
        <v>43493</v>
      </c>
      <c r="C1752" s="1" t="n">
        <v>45227</v>
      </c>
      <c r="D1752" t="inlineStr">
        <is>
          <t>VÄSTRA GÖTALANDS LÄN</t>
        </is>
      </c>
      <c r="E1752" t="inlineStr">
        <is>
          <t>GRÄSTORP</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7756-2019</t>
        </is>
      </c>
      <c r="B1753" s="1" t="n">
        <v>43493</v>
      </c>
      <c r="C1753" s="1" t="n">
        <v>45227</v>
      </c>
      <c r="D1753" t="inlineStr">
        <is>
          <t>VÄSTRA GÖTALANDS LÄN</t>
        </is>
      </c>
      <c r="E1753" t="inlineStr">
        <is>
          <t>BORÅS</t>
        </is>
      </c>
      <c r="F1753" t="inlineStr">
        <is>
          <t>Kommuner</t>
        </is>
      </c>
      <c r="G1753" t="n">
        <v>8.199999999999999</v>
      </c>
      <c r="H1753" t="n">
        <v>0</v>
      </c>
      <c r="I1753" t="n">
        <v>0</v>
      </c>
      <c r="J1753" t="n">
        <v>0</v>
      </c>
      <c r="K1753" t="n">
        <v>0</v>
      </c>
      <c r="L1753" t="n">
        <v>0</v>
      </c>
      <c r="M1753" t="n">
        <v>0</v>
      </c>
      <c r="N1753" t="n">
        <v>0</v>
      </c>
      <c r="O1753" t="n">
        <v>0</v>
      </c>
      <c r="P1753" t="n">
        <v>0</v>
      </c>
      <c r="Q1753" t="n">
        <v>0</v>
      </c>
      <c r="R1753" s="2" t="inlineStr"/>
    </row>
    <row r="1754" ht="15" customHeight="1">
      <c r="A1754" t="inlineStr">
        <is>
          <t>A 7834-2019</t>
        </is>
      </c>
      <c r="B1754" s="1" t="n">
        <v>43493</v>
      </c>
      <c r="C1754" s="1" t="n">
        <v>45227</v>
      </c>
      <c r="D1754" t="inlineStr">
        <is>
          <t>VÄSTRA GÖTALANDS LÄN</t>
        </is>
      </c>
      <c r="E1754" t="inlineStr">
        <is>
          <t>BORÅS</t>
        </is>
      </c>
      <c r="F1754" t="inlineStr">
        <is>
          <t>Kommuner</t>
        </is>
      </c>
      <c r="G1754" t="n">
        <v>6.5</v>
      </c>
      <c r="H1754" t="n">
        <v>0</v>
      </c>
      <c r="I1754" t="n">
        <v>0</v>
      </c>
      <c r="J1754" t="n">
        <v>0</v>
      </c>
      <c r="K1754" t="n">
        <v>0</v>
      </c>
      <c r="L1754" t="n">
        <v>0</v>
      </c>
      <c r="M1754" t="n">
        <v>0</v>
      </c>
      <c r="N1754" t="n">
        <v>0</v>
      </c>
      <c r="O1754" t="n">
        <v>0</v>
      </c>
      <c r="P1754" t="n">
        <v>0</v>
      </c>
      <c r="Q1754" t="n">
        <v>0</v>
      </c>
      <c r="R1754" s="2" t="inlineStr"/>
    </row>
    <row r="1755" ht="15" customHeight="1">
      <c r="A1755" t="inlineStr">
        <is>
          <t>A 6439-2019</t>
        </is>
      </c>
      <c r="B1755" s="1" t="n">
        <v>43494</v>
      </c>
      <c r="C1755" s="1" t="n">
        <v>45227</v>
      </c>
      <c r="D1755" t="inlineStr">
        <is>
          <t>VÄSTRA GÖTALANDS LÄN</t>
        </is>
      </c>
      <c r="E1755" t="inlineStr">
        <is>
          <t>MARK</t>
        </is>
      </c>
      <c r="F1755" t="inlineStr">
        <is>
          <t>Sveaskog</t>
        </is>
      </c>
      <c r="G1755" t="n">
        <v>7.8</v>
      </c>
      <c r="H1755" t="n">
        <v>0</v>
      </c>
      <c r="I1755" t="n">
        <v>0</v>
      </c>
      <c r="J1755" t="n">
        <v>0</v>
      </c>
      <c r="K1755" t="n">
        <v>0</v>
      </c>
      <c r="L1755" t="n">
        <v>0</v>
      </c>
      <c r="M1755" t="n">
        <v>0</v>
      </c>
      <c r="N1755" t="n">
        <v>0</v>
      </c>
      <c r="O1755" t="n">
        <v>0</v>
      </c>
      <c r="P1755" t="n">
        <v>0</v>
      </c>
      <c r="Q1755" t="n">
        <v>0</v>
      </c>
      <c r="R1755" s="2" t="inlineStr"/>
    </row>
    <row r="1756" ht="15" customHeight="1">
      <c r="A1756" t="inlineStr">
        <is>
          <t>A 6477-2019</t>
        </is>
      </c>
      <c r="B1756" s="1" t="n">
        <v>43494</v>
      </c>
      <c r="C1756" s="1" t="n">
        <v>45227</v>
      </c>
      <c r="D1756" t="inlineStr">
        <is>
          <t>VÄSTRA GÖTALANDS LÄN</t>
        </is>
      </c>
      <c r="E1756" t="inlineStr">
        <is>
          <t>ULRICEHAMN</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6486-2019</t>
        </is>
      </c>
      <c r="B1757" s="1" t="n">
        <v>43494</v>
      </c>
      <c r="C1757" s="1" t="n">
        <v>45227</v>
      </c>
      <c r="D1757" t="inlineStr">
        <is>
          <t>VÄSTRA GÖTALANDS LÄN</t>
        </is>
      </c>
      <c r="E1757" t="inlineStr">
        <is>
          <t>FÄRGELANDA</t>
        </is>
      </c>
      <c r="G1757" t="n">
        <v>1.8</v>
      </c>
      <c r="H1757" t="n">
        <v>0</v>
      </c>
      <c r="I1757" t="n">
        <v>0</v>
      </c>
      <c r="J1757" t="n">
        <v>0</v>
      </c>
      <c r="K1757" t="n">
        <v>0</v>
      </c>
      <c r="L1757" t="n">
        <v>0</v>
      </c>
      <c r="M1757" t="n">
        <v>0</v>
      </c>
      <c r="N1757" t="n">
        <v>0</v>
      </c>
      <c r="O1757" t="n">
        <v>0</v>
      </c>
      <c r="P1757" t="n">
        <v>0</v>
      </c>
      <c r="Q1757" t="n">
        <v>0</v>
      </c>
      <c r="R1757" s="2" t="inlineStr"/>
    </row>
    <row r="1758" ht="15" customHeight="1">
      <c r="A1758" t="inlineStr">
        <is>
          <t>A 8034-2019</t>
        </is>
      </c>
      <c r="B1758" s="1" t="n">
        <v>43494</v>
      </c>
      <c r="C1758" s="1" t="n">
        <v>45227</v>
      </c>
      <c r="D1758" t="inlineStr">
        <is>
          <t>VÄSTRA GÖTALANDS LÄN</t>
        </is>
      </c>
      <c r="E1758" t="inlineStr">
        <is>
          <t>GULLSPÅNG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6472-2019</t>
        </is>
      </c>
      <c r="B1759" s="1" t="n">
        <v>43494</v>
      </c>
      <c r="C1759" s="1" t="n">
        <v>45227</v>
      </c>
      <c r="D1759" t="inlineStr">
        <is>
          <t>VÄSTRA GÖTALANDS LÄN</t>
        </is>
      </c>
      <c r="E1759" t="inlineStr">
        <is>
          <t>TIDAHOLM</t>
        </is>
      </c>
      <c r="G1759" t="n">
        <v>8.4</v>
      </c>
      <c r="H1759" t="n">
        <v>0</v>
      </c>
      <c r="I1759" t="n">
        <v>0</v>
      </c>
      <c r="J1759" t="n">
        <v>0</v>
      </c>
      <c r="K1759" t="n">
        <v>0</v>
      </c>
      <c r="L1759" t="n">
        <v>0</v>
      </c>
      <c r="M1759" t="n">
        <v>0</v>
      </c>
      <c r="N1759" t="n">
        <v>0</v>
      </c>
      <c r="O1759" t="n">
        <v>0</v>
      </c>
      <c r="P1759" t="n">
        <v>0</v>
      </c>
      <c r="Q1759" t="n">
        <v>0</v>
      </c>
      <c r="R1759" s="2" t="inlineStr"/>
    </row>
    <row r="1760" ht="15" customHeight="1">
      <c r="A1760" t="inlineStr">
        <is>
          <t>A 6550-2019</t>
        </is>
      </c>
      <c r="B1760" s="1" t="n">
        <v>43494</v>
      </c>
      <c r="C1760" s="1" t="n">
        <v>45227</v>
      </c>
      <c r="D1760" t="inlineStr">
        <is>
          <t>VÄSTRA GÖTALANDS LÄN</t>
        </is>
      </c>
      <c r="E1760" t="inlineStr">
        <is>
          <t>FÄRGELANDA</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6615-2019</t>
        </is>
      </c>
      <c r="B1761" s="1" t="n">
        <v>43494</v>
      </c>
      <c r="C1761" s="1" t="n">
        <v>45227</v>
      </c>
      <c r="D1761" t="inlineStr">
        <is>
          <t>VÄSTRA GÖTALANDS LÄN</t>
        </is>
      </c>
      <c r="E1761" t="inlineStr">
        <is>
          <t>DALS-ED</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6630-2019</t>
        </is>
      </c>
      <c r="B1762" s="1" t="n">
        <v>43494</v>
      </c>
      <c r="C1762" s="1" t="n">
        <v>45227</v>
      </c>
      <c r="D1762" t="inlineStr">
        <is>
          <t>VÄSTRA GÖTALANDS LÄN</t>
        </is>
      </c>
      <c r="E1762" t="inlineStr">
        <is>
          <t>ALINGSÅS</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6743-2019</t>
        </is>
      </c>
      <c r="B1763" s="1" t="n">
        <v>43494</v>
      </c>
      <c r="C1763" s="1" t="n">
        <v>45227</v>
      </c>
      <c r="D1763" t="inlineStr">
        <is>
          <t>VÄSTRA GÖTALANDS LÄN</t>
        </is>
      </c>
      <c r="E1763" t="inlineStr">
        <is>
          <t>BENGTSFORS</t>
        </is>
      </c>
      <c r="G1763" t="n">
        <v>5</v>
      </c>
      <c r="H1763" t="n">
        <v>0</v>
      </c>
      <c r="I1763" t="n">
        <v>0</v>
      </c>
      <c r="J1763" t="n">
        <v>0</v>
      </c>
      <c r="K1763" t="n">
        <v>0</v>
      </c>
      <c r="L1763" t="n">
        <v>0</v>
      </c>
      <c r="M1763" t="n">
        <v>0</v>
      </c>
      <c r="N1763" t="n">
        <v>0</v>
      </c>
      <c r="O1763" t="n">
        <v>0</v>
      </c>
      <c r="P1763" t="n">
        <v>0</v>
      </c>
      <c r="Q1763" t="n">
        <v>0</v>
      </c>
      <c r="R1763" s="2" t="inlineStr"/>
    </row>
    <row r="1764" ht="15" customHeight="1">
      <c r="A1764" t="inlineStr">
        <is>
          <t>A 6632-2019</t>
        </is>
      </c>
      <c r="B1764" s="1" t="n">
        <v>43494</v>
      </c>
      <c r="C1764" s="1" t="n">
        <v>45227</v>
      </c>
      <c r="D1764" t="inlineStr">
        <is>
          <t>VÄSTRA GÖTALANDS LÄN</t>
        </is>
      </c>
      <c r="E1764" t="inlineStr">
        <is>
          <t>ALINGSÅS</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6642-2019</t>
        </is>
      </c>
      <c r="B1765" s="1" t="n">
        <v>43494</v>
      </c>
      <c r="C1765" s="1" t="n">
        <v>45227</v>
      </c>
      <c r="D1765" t="inlineStr">
        <is>
          <t>VÄSTRA GÖTALANDS LÄN</t>
        </is>
      </c>
      <c r="E1765" t="inlineStr">
        <is>
          <t>MARIESTAD</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6461-2019</t>
        </is>
      </c>
      <c r="B1766" s="1" t="n">
        <v>43494</v>
      </c>
      <c r="C1766" s="1" t="n">
        <v>45227</v>
      </c>
      <c r="D1766" t="inlineStr">
        <is>
          <t>VÄSTRA GÖTALANDS LÄN</t>
        </is>
      </c>
      <c r="E1766" t="inlineStr">
        <is>
          <t>ALINGSÅS</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6562-2019</t>
        </is>
      </c>
      <c r="B1767" s="1" t="n">
        <v>43494</v>
      </c>
      <c r="C1767" s="1" t="n">
        <v>45227</v>
      </c>
      <c r="D1767" t="inlineStr">
        <is>
          <t>VÄSTRA GÖTALANDS LÄN</t>
        </is>
      </c>
      <c r="E1767" t="inlineStr">
        <is>
          <t>MARK</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6627-2019</t>
        </is>
      </c>
      <c r="B1768" s="1" t="n">
        <v>43494</v>
      </c>
      <c r="C1768" s="1" t="n">
        <v>45227</v>
      </c>
      <c r="D1768" t="inlineStr">
        <is>
          <t>VÄSTRA GÖTALANDS LÄN</t>
        </is>
      </c>
      <c r="E1768" t="inlineStr">
        <is>
          <t>SVENLJUNGA</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6636-2019</t>
        </is>
      </c>
      <c r="B1769" s="1" t="n">
        <v>43494</v>
      </c>
      <c r="C1769" s="1" t="n">
        <v>45227</v>
      </c>
      <c r="D1769" t="inlineStr">
        <is>
          <t>VÄSTRA GÖTALANDS LÄN</t>
        </is>
      </c>
      <c r="E1769" t="inlineStr">
        <is>
          <t>MARIESTAD</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6708-2019</t>
        </is>
      </c>
      <c r="B1770" s="1" t="n">
        <v>43494</v>
      </c>
      <c r="C1770" s="1" t="n">
        <v>45227</v>
      </c>
      <c r="D1770" t="inlineStr">
        <is>
          <t>VÄSTRA GÖTALANDS LÄN</t>
        </is>
      </c>
      <c r="E1770" t="inlineStr">
        <is>
          <t>MARIESTAD</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6963-2019</t>
        </is>
      </c>
      <c r="B1771" s="1" t="n">
        <v>43495</v>
      </c>
      <c r="C1771" s="1" t="n">
        <v>45227</v>
      </c>
      <c r="D1771" t="inlineStr">
        <is>
          <t>VÄSTRA GÖTALANDS LÄN</t>
        </is>
      </c>
      <c r="E1771" t="inlineStr">
        <is>
          <t>ALINGSÅS</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8374-2019</t>
        </is>
      </c>
      <c r="B1772" s="1" t="n">
        <v>43495</v>
      </c>
      <c r="C1772" s="1" t="n">
        <v>45227</v>
      </c>
      <c r="D1772" t="inlineStr">
        <is>
          <t>VÄSTRA GÖTALANDS LÄN</t>
        </is>
      </c>
      <c r="E1772" t="inlineStr">
        <is>
          <t>SKARA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6856-2019</t>
        </is>
      </c>
      <c r="B1773" s="1" t="n">
        <v>43495</v>
      </c>
      <c r="C1773" s="1" t="n">
        <v>45227</v>
      </c>
      <c r="D1773" t="inlineStr">
        <is>
          <t>VÄSTRA GÖTALANDS LÄN</t>
        </is>
      </c>
      <c r="E1773" t="inlineStr">
        <is>
          <t>BENGTSFORS</t>
        </is>
      </c>
      <c r="G1773" t="n">
        <v>9.199999999999999</v>
      </c>
      <c r="H1773" t="n">
        <v>0</v>
      </c>
      <c r="I1773" t="n">
        <v>0</v>
      </c>
      <c r="J1773" t="n">
        <v>0</v>
      </c>
      <c r="K1773" t="n">
        <v>0</v>
      </c>
      <c r="L1773" t="n">
        <v>0</v>
      </c>
      <c r="M1773" t="n">
        <v>0</v>
      </c>
      <c r="N1773" t="n">
        <v>0</v>
      </c>
      <c r="O1773" t="n">
        <v>0</v>
      </c>
      <c r="P1773" t="n">
        <v>0</v>
      </c>
      <c r="Q1773" t="n">
        <v>0</v>
      </c>
      <c r="R1773" s="2" t="inlineStr"/>
    </row>
    <row r="1774" ht="15" customHeight="1">
      <c r="A1774" t="inlineStr">
        <is>
          <t>A 6944-2019</t>
        </is>
      </c>
      <c r="B1774" s="1" t="n">
        <v>43495</v>
      </c>
      <c r="C1774" s="1" t="n">
        <v>45227</v>
      </c>
      <c r="D1774" t="inlineStr">
        <is>
          <t>VÄSTRA GÖTALANDS LÄN</t>
        </is>
      </c>
      <c r="E1774" t="inlineStr">
        <is>
          <t>VARA</t>
        </is>
      </c>
      <c r="G1774" t="n">
        <v>3.7</v>
      </c>
      <c r="H1774" t="n">
        <v>0</v>
      </c>
      <c r="I1774" t="n">
        <v>0</v>
      </c>
      <c r="J1774" t="n">
        <v>0</v>
      </c>
      <c r="K1774" t="n">
        <v>0</v>
      </c>
      <c r="L1774" t="n">
        <v>0</v>
      </c>
      <c r="M1774" t="n">
        <v>0</v>
      </c>
      <c r="N1774" t="n">
        <v>0</v>
      </c>
      <c r="O1774" t="n">
        <v>0</v>
      </c>
      <c r="P1774" t="n">
        <v>0</v>
      </c>
      <c r="Q1774" t="n">
        <v>0</v>
      </c>
      <c r="R1774" s="2" t="inlineStr"/>
    </row>
    <row r="1775" ht="15" customHeight="1">
      <c r="A1775" t="inlineStr">
        <is>
          <t>A 7027-2019</t>
        </is>
      </c>
      <c r="B1775" s="1" t="n">
        <v>43495</v>
      </c>
      <c r="C1775" s="1" t="n">
        <v>45227</v>
      </c>
      <c r="D1775" t="inlineStr">
        <is>
          <t>VÄSTRA GÖTALANDS LÄN</t>
        </is>
      </c>
      <c r="E1775" t="inlineStr">
        <is>
          <t>HERRLJUNGA</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8378-2019</t>
        </is>
      </c>
      <c r="B1776" s="1" t="n">
        <v>43495</v>
      </c>
      <c r="C1776" s="1" t="n">
        <v>45227</v>
      </c>
      <c r="D1776" t="inlineStr">
        <is>
          <t>VÄSTRA GÖTALANDS LÄN</t>
        </is>
      </c>
      <c r="E1776" t="inlineStr">
        <is>
          <t>TIDAHOLM</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6788-2019</t>
        </is>
      </c>
      <c r="B1777" s="1" t="n">
        <v>43495</v>
      </c>
      <c r="C1777" s="1" t="n">
        <v>45227</v>
      </c>
      <c r="D1777" t="inlineStr">
        <is>
          <t>VÄSTRA GÖTALANDS LÄN</t>
        </is>
      </c>
      <c r="E1777" t="inlineStr">
        <is>
          <t>BORÅS</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6807-2019</t>
        </is>
      </c>
      <c r="B1778" s="1" t="n">
        <v>43495</v>
      </c>
      <c r="C1778" s="1" t="n">
        <v>45227</v>
      </c>
      <c r="D1778" t="inlineStr">
        <is>
          <t>VÄSTRA GÖTALANDS LÄN</t>
        </is>
      </c>
      <c r="E1778" t="inlineStr">
        <is>
          <t>HERRLJUNGA</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6828-2019</t>
        </is>
      </c>
      <c r="B1779" s="1" t="n">
        <v>43495</v>
      </c>
      <c r="C1779" s="1" t="n">
        <v>45227</v>
      </c>
      <c r="D1779" t="inlineStr">
        <is>
          <t>VÄSTRA GÖTALANDS LÄN</t>
        </is>
      </c>
      <c r="E1779" t="inlineStr">
        <is>
          <t>VÄNERSBORG</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6977-2019</t>
        </is>
      </c>
      <c r="B1780" s="1" t="n">
        <v>43495</v>
      </c>
      <c r="C1780" s="1" t="n">
        <v>45227</v>
      </c>
      <c r="D1780" t="inlineStr">
        <is>
          <t>VÄSTRA GÖTALANDS LÄN</t>
        </is>
      </c>
      <c r="E1780" t="inlineStr">
        <is>
          <t>SVENLJUNGA</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7005-2019</t>
        </is>
      </c>
      <c r="B1781" s="1" t="n">
        <v>43495</v>
      </c>
      <c r="C1781" s="1" t="n">
        <v>45227</v>
      </c>
      <c r="D1781" t="inlineStr">
        <is>
          <t>VÄSTRA GÖTALANDS LÄN</t>
        </is>
      </c>
      <c r="E1781" t="inlineStr">
        <is>
          <t>DALS-ED</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7043-2019</t>
        </is>
      </c>
      <c r="B1782" s="1" t="n">
        <v>43495</v>
      </c>
      <c r="C1782" s="1" t="n">
        <v>45227</v>
      </c>
      <c r="D1782" t="inlineStr">
        <is>
          <t>VÄSTRA GÖTALANDS LÄN</t>
        </is>
      </c>
      <c r="E1782" t="inlineStr">
        <is>
          <t>FÄRGELANDA</t>
        </is>
      </c>
      <c r="G1782" t="n">
        <v>11.7</v>
      </c>
      <c r="H1782" t="n">
        <v>0</v>
      </c>
      <c r="I1782" t="n">
        <v>0</v>
      </c>
      <c r="J1782" t="n">
        <v>0</v>
      </c>
      <c r="K1782" t="n">
        <v>0</v>
      </c>
      <c r="L1782" t="n">
        <v>0</v>
      </c>
      <c r="M1782" t="n">
        <v>0</v>
      </c>
      <c r="N1782" t="n">
        <v>0</v>
      </c>
      <c r="O1782" t="n">
        <v>0</v>
      </c>
      <c r="P1782" t="n">
        <v>0</v>
      </c>
      <c r="Q1782" t="n">
        <v>0</v>
      </c>
      <c r="R1782" s="2" t="inlineStr"/>
    </row>
    <row r="1783" ht="15" customHeight="1">
      <c r="A1783" t="inlineStr">
        <is>
          <t>A 8127-2019</t>
        </is>
      </c>
      <c r="B1783" s="1" t="n">
        <v>43495</v>
      </c>
      <c r="C1783" s="1" t="n">
        <v>45227</v>
      </c>
      <c r="D1783" t="inlineStr">
        <is>
          <t>VÄSTRA GÖTALANDS LÄN</t>
        </is>
      </c>
      <c r="E1783" t="inlineStr">
        <is>
          <t>VARA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8380-2019</t>
        </is>
      </c>
      <c r="B1784" s="1" t="n">
        <v>43495</v>
      </c>
      <c r="C1784" s="1" t="n">
        <v>45227</v>
      </c>
      <c r="D1784" t="inlineStr">
        <is>
          <t>VÄSTRA GÖTALANDS LÄN</t>
        </is>
      </c>
      <c r="E1784" t="inlineStr">
        <is>
          <t>TIDAHOLM</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6797-2019</t>
        </is>
      </c>
      <c r="B1785" s="1" t="n">
        <v>43495</v>
      </c>
      <c r="C1785" s="1" t="n">
        <v>45227</v>
      </c>
      <c r="D1785" t="inlineStr">
        <is>
          <t>VÄSTRA GÖTALANDS LÄN</t>
        </is>
      </c>
      <c r="E1785" t="inlineStr">
        <is>
          <t>MARK</t>
        </is>
      </c>
      <c r="F1785" t="inlineStr">
        <is>
          <t>Sveaskog</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6809-2019</t>
        </is>
      </c>
      <c r="B1786" s="1" t="n">
        <v>43495</v>
      </c>
      <c r="C1786" s="1" t="n">
        <v>45227</v>
      </c>
      <c r="D1786" t="inlineStr">
        <is>
          <t>VÄSTRA GÖTALANDS LÄN</t>
        </is>
      </c>
      <c r="E1786" t="inlineStr">
        <is>
          <t>TRANEMO</t>
        </is>
      </c>
      <c r="F1786" t="inlineStr">
        <is>
          <t>Kommuner</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6844-2019</t>
        </is>
      </c>
      <c r="B1787" s="1" t="n">
        <v>43495</v>
      </c>
      <c r="C1787" s="1" t="n">
        <v>45227</v>
      </c>
      <c r="D1787" t="inlineStr">
        <is>
          <t>VÄSTRA GÖTALANDS LÄN</t>
        </is>
      </c>
      <c r="E1787" t="inlineStr">
        <is>
          <t>LILLA EDET</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8365-2019</t>
        </is>
      </c>
      <c r="B1788" s="1" t="n">
        <v>43495</v>
      </c>
      <c r="C1788" s="1" t="n">
        <v>45227</v>
      </c>
      <c r="D1788" t="inlineStr">
        <is>
          <t>VÄSTRA GÖTALANDS LÄN</t>
        </is>
      </c>
      <c r="E1788" t="inlineStr">
        <is>
          <t>SKÖVDE</t>
        </is>
      </c>
      <c r="G1788" t="n">
        <v>5.5</v>
      </c>
      <c r="H1788" t="n">
        <v>0</v>
      </c>
      <c r="I1788" t="n">
        <v>0</v>
      </c>
      <c r="J1788" t="n">
        <v>0</v>
      </c>
      <c r="K1788" t="n">
        <v>0</v>
      </c>
      <c r="L1788" t="n">
        <v>0</v>
      </c>
      <c r="M1788" t="n">
        <v>0</v>
      </c>
      <c r="N1788" t="n">
        <v>0</v>
      </c>
      <c r="O1788" t="n">
        <v>0</v>
      </c>
      <c r="P1788" t="n">
        <v>0</v>
      </c>
      <c r="Q1788" t="n">
        <v>0</v>
      </c>
      <c r="R1788" s="2" t="inlineStr"/>
    </row>
    <row r="1789" ht="15" customHeight="1">
      <c r="A1789" t="inlineStr">
        <is>
          <t>A 7091-2019</t>
        </is>
      </c>
      <c r="B1789" s="1" t="n">
        <v>43496</v>
      </c>
      <c r="C1789" s="1" t="n">
        <v>45227</v>
      </c>
      <c r="D1789" t="inlineStr">
        <is>
          <t>VÄSTRA GÖTALANDS LÄN</t>
        </is>
      </c>
      <c r="E1789" t="inlineStr">
        <is>
          <t>FÄRGELANDA</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7122-2019</t>
        </is>
      </c>
      <c r="B1790" s="1" t="n">
        <v>43496</v>
      </c>
      <c r="C1790" s="1" t="n">
        <v>45227</v>
      </c>
      <c r="D1790" t="inlineStr">
        <is>
          <t>VÄSTRA GÖTALANDS LÄN</t>
        </is>
      </c>
      <c r="E1790" t="inlineStr">
        <is>
          <t>TJÖRN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7320-2019</t>
        </is>
      </c>
      <c r="B1791" s="1" t="n">
        <v>43496</v>
      </c>
      <c r="C1791" s="1" t="n">
        <v>45227</v>
      </c>
      <c r="D1791" t="inlineStr">
        <is>
          <t>VÄSTRA GÖTALANDS LÄN</t>
        </is>
      </c>
      <c r="E1791" t="inlineStr">
        <is>
          <t>TRANEMO</t>
        </is>
      </c>
      <c r="G1791" t="n">
        <v>4.4</v>
      </c>
      <c r="H1791" t="n">
        <v>0</v>
      </c>
      <c r="I1791" t="n">
        <v>0</v>
      </c>
      <c r="J1791" t="n">
        <v>0</v>
      </c>
      <c r="K1791" t="n">
        <v>0</v>
      </c>
      <c r="L1791" t="n">
        <v>0</v>
      </c>
      <c r="M1791" t="n">
        <v>0</v>
      </c>
      <c r="N1791" t="n">
        <v>0</v>
      </c>
      <c r="O1791" t="n">
        <v>0</v>
      </c>
      <c r="P1791" t="n">
        <v>0</v>
      </c>
      <c r="Q1791" t="n">
        <v>0</v>
      </c>
      <c r="R1791" s="2" t="inlineStr"/>
    </row>
    <row r="1792" ht="15" customHeight="1">
      <c r="A1792" t="inlineStr">
        <is>
          <t>A 8206-2019</t>
        </is>
      </c>
      <c r="B1792" s="1" t="n">
        <v>43496</v>
      </c>
      <c r="C1792" s="1" t="n">
        <v>45227</v>
      </c>
      <c r="D1792" t="inlineStr">
        <is>
          <t>VÄSTRA GÖTALANDS LÄN</t>
        </is>
      </c>
      <c r="E1792" t="inlineStr">
        <is>
          <t>TANUM</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8212-2019</t>
        </is>
      </c>
      <c r="B1793" s="1" t="n">
        <v>43496</v>
      </c>
      <c r="C1793" s="1" t="n">
        <v>45227</v>
      </c>
      <c r="D1793" t="inlineStr">
        <is>
          <t>VÄSTRA GÖTALANDS LÄN</t>
        </is>
      </c>
      <c r="E1793" t="inlineStr">
        <is>
          <t>BORÅS</t>
        </is>
      </c>
      <c r="F1793" t="inlineStr">
        <is>
          <t>Kommuner</t>
        </is>
      </c>
      <c r="G1793" t="n">
        <v>6.1</v>
      </c>
      <c r="H1793" t="n">
        <v>0</v>
      </c>
      <c r="I1793" t="n">
        <v>0</v>
      </c>
      <c r="J1793" t="n">
        <v>0</v>
      </c>
      <c r="K1793" t="n">
        <v>0</v>
      </c>
      <c r="L1793" t="n">
        <v>0</v>
      </c>
      <c r="M1793" t="n">
        <v>0</v>
      </c>
      <c r="N1793" t="n">
        <v>0</v>
      </c>
      <c r="O1793" t="n">
        <v>0</v>
      </c>
      <c r="P1793" t="n">
        <v>0</v>
      </c>
      <c r="Q1793" t="n">
        <v>0</v>
      </c>
      <c r="R1793" s="2" t="inlineStr"/>
    </row>
    <row r="1794" ht="15" customHeight="1">
      <c r="A1794" t="inlineStr">
        <is>
          <t>A 7253-2019</t>
        </is>
      </c>
      <c r="B1794" s="1" t="n">
        <v>43496</v>
      </c>
      <c r="C1794" s="1" t="n">
        <v>45227</v>
      </c>
      <c r="D1794" t="inlineStr">
        <is>
          <t>VÄSTRA GÖTALANDS LÄN</t>
        </is>
      </c>
      <c r="E1794" t="inlineStr">
        <is>
          <t>HÄRRYDA</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7267-2019</t>
        </is>
      </c>
      <c r="B1795" s="1" t="n">
        <v>43496</v>
      </c>
      <c r="C1795" s="1" t="n">
        <v>45227</v>
      </c>
      <c r="D1795" t="inlineStr">
        <is>
          <t>VÄSTRA GÖTALANDS LÄN</t>
        </is>
      </c>
      <c r="E1795" t="inlineStr">
        <is>
          <t>HÄRRYDA</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8199-2019</t>
        </is>
      </c>
      <c r="B1796" s="1" t="n">
        <v>43496</v>
      </c>
      <c r="C1796" s="1" t="n">
        <v>45227</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8292-2019</t>
        </is>
      </c>
      <c r="B1797" s="1" t="n">
        <v>43496</v>
      </c>
      <c r="C1797" s="1" t="n">
        <v>45227</v>
      </c>
      <c r="D1797" t="inlineStr">
        <is>
          <t>VÄSTRA GÖTALANDS LÄN</t>
        </is>
      </c>
      <c r="E1797" t="inlineStr">
        <is>
          <t>BENGTSFORS</t>
        </is>
      </c>
      <c r="F1797" t="inlineStr">
        <is>
          <t>Kyrkan</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7086-2019</t>
        </is>
      </c>
      <c r="B1798" s="1" t="n">
        <v>43496</v>
      </c>
      <c r="C1798" s="1" t="n">
        <v>45227</v>
      </c>
      <c r="D1798" t="inlineStr">
        <is>
          <t>VÄSTRA GÖTALANDS LÄN</t>
        </is>
      </c>
      <c r="E1798" t="inlineStr">
        <is>
          <t>FÄRGELANDA</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7322-2019</t>
        </is>
      </c>
      <c r="B1799" s="1" t="n">
        <v>43496</v>
      </c>
      <c r="C1799" s="1" t="n">
        <v>45227</v>
      </c>
      <c r="D1799" t="inlineStr">
        <is>
          <t>VÄSTRA GÖTALANDS LÄN</t>
        </is>
      </c>
      <c r="E1799" t="inlineStr">
        <is>
          <t>TRANEMO</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7329-2019</t>
        </is>
      </c>
      <c r="B1800" s="1" t="n">
        <v>43496</v>
      </c>
      <c r="C1800" s="1" t="n">
        <v>45227</v>
      </c>
      <c r="D1800" t="inlineStr">
        <is>
          <t>VÄSTRA GÖTALANDS LÄN</t>
        </is>
      </c>
      <c r="E1800" t="inlineStr">
        <is>
          <t>ULRICEHAMN</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8211-2019</t>
        </is>
      </c>
      <c r="B1801" s="1" t="n">
        <v>43496</v>
      </c>
      <c r="C1801" s="1" t="n">
        <v>45227</v>
      </c>
      <c r="D1801" t="inlineStr">
        <is>
          <t>VÄSTRA GÖTALANDS LÄN</t>
        </is>
      </c>
      <c r="E1801" t="inlineStr">
        <is>
          <t>TANUM</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7417-2019</t>
        </is>
      </c>
      <c r="B1802" s="1" t="n">
        <v>43497</v>
      </c>
      <c r="C1802" s="1" t="n">
        <v>45227</v>
      </c>
      <c r="D1802" t="inlineStr">
        <is>
          <t>VÄSTRA GÖTALANDS LÄN</t>
        </is>
      </c>
      <c r="E1802" t="inlineStr">
        <is>
          <t>LERUM</t>
        </is>
      </c>
      <c r="G1802" t="n">
        <v>10.4</v>
      </c>
      <c r="H1802" t="n">
        <v>0</v>
      </c>
      <c r="I1802" t="n">
        <v>0</v>
      </c>
      <c r="J1802" t="n">
        <v>0</v>
      </c>
      <c r="K1802" t="n">
        <v>0</v>
      </c>
      <c r="L1802" t="n">
        <v>0</v>
      </c>
      <c r="M1802" t="n">
        <v>0</v>
      </c>
      <c r="N1802" t="n">
        <v>0</v>
      </c>
      <c r="O1802" t="n">
        <v>0</v>
      </c>
      <c r="P1802" t="n">
        <v>0</v>
      </c>
      <c r="Q1802" t="n">
        <v>0</v>
      </c>
      <c r="R1802" s="2" t="inlineStr"/>
    </row>
    <row r="1803" ht="15" customHeight="1">
      <c r="A1803" t="inlineStr">
        <is>
          <t>A 7466-2019</t>
        </is>
      </c>
      <c r="B1803" s="1" t="n">
        <v>43497</v>
      </c>
      <c r="C1803" s="1" t="n">
        <v>45227</v>
      </c>
      <c r="D1803" t="inlineStr">
        <is>
          <t>VÄSTRA GÖTALANDS LÄN</t>
        </is>
      </c>
      <c r="E1803" t="inlineStr">
        <is>
          <t>BORÅS</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7472-2019</t>
        </is>
      </c>
      <c r="B1804" s="1" t="n">
        <v>43497</v>
      </c>
      <c r="C1804" s="1" t="n">
        <v>45227</v>
      </c>
      <c r="D1804" t="inlineStr">
        <is>
          <t>VÄSTRA GÖTALANDS LÄN</t>
        </is>
      </c>
      <c r="E1804" t="inlineStr">
        <is>
          <t>BORÅS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7468-2019</t>
        </is>
      </c>
      <c r="B1805" s="1" t="n">
        <v>43497</v>
      </c>
      <c r="C1805" s="1" t="n">
        <v>45227</v>
      </c>
      <c r="D1805" t="inlineStr">
        <is>
          <t>VÄSTRA GÖTALANDS LÄN</t>
        </is>
      </c>
      <c r="E1805" t="inlineStr">
        <is>
          <t>BORÅS</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8312-2019</t>
        </is>
      </c>
      <c r="B1806" s="1" t="n">
        <v>43497</v>
      </c>
      <c r="C1806" s="1" t="n">
        <v>45227</v>
      </c>
      <c r="D1806" t="inlineStr">
        <is>
          <t>VÄSTRA GÖTALANDS LÄN</t>
        </is>
      </c>
      <c r="E1806" t="inlineStr">
        <is>
          <t>BORÅS</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8358-2019</t>
        </is>
      </c>
      <c r="B1807" s="1" t="n">
        <v>43497</v>
      </c>
      <c r="C1807" s="1" t="n">
        <v>45227</v>
      </c>
      <c r="D1807" t="inlineStr">
        <is>
          <t>VÄSTRA GÖTALANDS LÄN</t>
        </is>
      </c>
      <c r="E1807" t="inlineStr">
        <is>
          <t>GULLSPÅNG</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7389-2019</t>
        </is>
      </c>
      <c r="B1808" s="1" t="n">
        <v>43497</v>
      </c>
      <c r="C1808" s="1" t="n">
        <v>45227</v>
      </c>
      <c r="D1808" t="inlineStr">
        <is>
          <t>VÄSTRA GÖTALANDS LÄN</t>
        </is>
      </c>
      <c r="E1808" t="inlineStr">
        <is>
          <t>BENGTSFORS</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7531-2019</t>
        </is>
      </c>
      <c r="B1809" s="1" t="n">
        <v>43497</v>
      </c>
      <c r="C1809" s="1" t="n">
        <v>45227</v>
      </c>
      <c r="D1809" t="inlineStr">
        <is>
          <t>VÄSTRA GÖTALANDS LÄN</t>
        </is>
      </c>
      <c r="E1809" t="inlineStr">
        <is>
          <t>SKÖVDE</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8317-2019</t>
        </is>
      </c>
      <c r="B1810" s="1" t="n">
        <v>43497</v>
      </c>
      <c r="C1810" s="1" t="n">
        <v>45227</v>
      </c>
      <c r="D1810" t="inlineStr">
        <is>
          <t>VÄSTRA GÖTALANDS LÄN</t>
        </is>
      </c>
      <c r="E1810" t="inlineStr">
        <is>
          <t>BORÅS</t>
        </is>
      </c>
      <c r="G1810" t="n">
        <v>3</v>
      </c>
      <c r="H1810" t="n">
        <v>0</v>
      </c>
      <c r="I1810" t="n">
        <v>0</v>
      </c>
      <c r="J1810" t="n">
        <v>0</v>
      </c>
      <c r="K1810" t="n">
        <v>0</v>
      </c>
      <c r="L1810" t="n">
        <v>0</v>
      </c>
      <c r="M1810" t="n">
        <v>0</v>
      </c>
      <c r="N1810" t="n">
        <v>0</v>
      </c>
      <c r="O1810" t="n">
        <v>0</v>
      </c>
      <c r="P1810" t="n">
        <v>0</v>
      </c>
      <c r="Q1810" t="n">
        <v>0</v>
      </c>
      <c r="R1810" s="2" t="inlineStr"/>
    </row>
    <row r="1811" ht="15" customHeight="1">
      <c r="A1811" t="inlineStr">
        <is>
          <t>A 8340-2019</t>
        </is>
      </c>
      <c r="B1811" s="1" t="n">
        <v>43497</v>
      </c>
      <c r="C1811" s="1" t="n">
        <v>45227</v>
      </c>
      <c r="D1811" t="inlineStr">
        <is>
          <t>VÄSTRA GÖTALANDS LÄN</t>
        </is>
      </c>
      <c r="E1811" t="inlineStr">
        <is>
          <t>TRANEMO</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8368-2019</t>
        </is>
      </c>
      <c r="B1812" s="1" t="n">
        <v>43497</v>
      </c>
      <c r="C1812" s="1" t="n">
        <v>45227</v>
      </c>
      <c r="D1812" t="inlineStr">
        <is>
          <t>VÄSTRA GÖTALANDS LÄN</t>
        </is>
      </c>
      <c r="E1812" t="inlineStr">
        <is>
          <t>GULLSPÅNG</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8612-2019</t>
        </is>
      </c>
      <c r="B1813" s="1" t="n">
        <v>43497</v>
      </c>
      <c r="C1813" s="1" t="n">
        <v>45227</v>
      </c>
      <c r="D1813" t="inlineStr">
        <is>
          <t>VÄSTRA GÖTALANDS LÄN</t>
        </is>
      </c>
      <c r="E1813" t="inlineStr">
        <is>
          <t>BENGTSFORS</t>
        </is>
      </c>
      <c r="G1813" t="n">
        <v>25.6</v>
      </c>
      <c r="H1813" t="n">
        <v>0</v>
      </c>
      <c r="I1813" t="n">
        <v>0</v>
      </c>
      <c r="J1813" t="n">
        <v>0</v>
      </c>
      <c r="K1813" t="n">
        <v>0</v>
      </c>
      <c r="L1813" t="n">
        <v>0</v>
      </c>
      <c r="M1813" t="n">
        <v>0</v>
      </c>
      <c r="N1813" t="n">
        <v>0</v>
      </c>
      <c r="O1813" t="n">
        <v>0</v>
      </c>
      <c r="P1813" t="n">
        <v>0</v>
      </c>
      <c r="Q1813" t="n">
        <v>0</v>
      </c>
      <c r="R1813" s="2" t="inlineStr"/>
    </row>
    <row r="1814" ht="15" customHeight="1">
      <c r="A1814" t="inlineStr">
        <is>
          <t>A 7471-2019</t>
        </is>
      </c>
      <c r="B1814" s="1" t="n">
        <v>43497</v>
      </c>
      <c r="C1814" s="1" t="n">
        <v>45227</v>
      </c>
      <c r="D1814" t="inlineStr">
        <is>
          <t>VÄSTRA GÖTALANDS LÄN</t>
        </is>
      </c>
      <c r="E1814" t="inlineStr">
        <is>
          <t>BORÅS</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8325-2019</t>
        </is>
      </c>
      <c r="B1815" s="1" t="n">
        <v>43497</v>
      </c>
      <c r="C1815" s="1" t="n">
        <v>45227</v>
      </c>
      <c r="D1815" t="inlineStr">
        <is>
          <t>VÄSTRA GÖTALANDS LÄN</t>
        </is>
      </c>
      <c r="E1815" t="inlineStr">
        <is>
          <t>BORÅS</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8381-2019</t>
        </is>
      </c>
      <c r="B1816" s="1" t="n">
        <v>43497</v>
      </c>
      <c r="C1816" s="1" t="n">
        <v>45227</v>
      </c>
      <c r="D1816" t="inlineStr">
        <is>
          <t>VÄSTRA GÖTALANDS LÄN</t>
        </is>
      </c>
      <c r="E1816" t="inlineStr">
        <is>
          <t>MARK</t>
        </is>
      </c>
      <c r="F1816" t="inlineStr">
        <is>
          <t>Kyrkan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7599-2019</t>
        </is>
      </c>
      <c r="B1817" s="1" t="n">
        <v>43499</v>
      </c>
      <c r="C1817" s="1" t="n">
        <v>45227</v>
      </c>
      <c r="D1817" t="inlineStr">
        <is>
          <t>VÄSTRA GÖTALANDS LÄN</t>
        </is>
      </c>
      <c r="E1817" t="inlineStr">
        <is>
          <t>MUNKEDAL</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7601-2019</t>
        </is>
      </c>
      <c r="B1818" s="1" t="n">
        <v>43499</v>
      </c>
      <c r="C1818" s="1" t="n">
        <v>45227</v>
      </c>
      <c r="D1818" t="inlineStr">
        <is>
          <t>VÄSTRA GÖTALANDS LÄN</t>
        </is>
      </c>
      <c r="E1818" t="inlineStr">
        <is>
          <t>MUNKEDAL</t>
        </is>
      </c>
      <c r="G1818" t="n">
        <v>15.6</v>
      </c>
      <c r="H1818" t="n">
        <v>0</v>
      </c>
      <c r="I1818" t="n">
        <v>0</v>
      </c>
      <c r="J1818" t="n">
        <v>0</v>
      </c>
      <c r="K1818" t="n">
        <v>0</v>
      </c>
      <c r="L1818" t="n">
        <v>0</v>
      </c>
      <c r="M1818" t="n">
        <v>0</v>
      </c>
      <c r="N1818" t="n">
        <v>0</v>
      </c>
      <c r="O1818" t="n">
        <v>0</v>
      </c>
      <c r="P1818" t="n">
        <v>0</v>
      </c>
      <c r="Q1818" t="n">
        <v>0</v>
      </c>
      <c r="R1818" s="2" t="inlineStr"/>
    </row>
    <row r="1819" ht="15" customHeight="1">
      <c r="A1819" t="inlineStr">
        <is>
          <t>A 8427-2019</t>
        </is>
      </c>
      <c r="B1819" s="1" t="n">
        <v>43499</v>
      </c>
      <c r="C1819" s="1" t="n">
        <v>45227</v>
      </c>
      <c r="D1819" t="inlineStr">
        <is>
          <t>VÄSTRA GÖTALANDS LÄN</t>
        </is>
      </c>
      <c r="E1819" t="inlineStr">
        <is>
          <t>STRÖMSTAD</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7600-2019</t>
        </is>
      </c>
      <c r="B1820" s="1" t="n">
        <v>43499</v>
      </c>
      <c r="C1820" s="1" t="n">
        <v>45227</v>
      </c>
      <c r="D1820" t="inlineStr">
        <is>
          <t>VÄSTRA GÖTALANDS LÄN</t>
        </is>
      </c>
      <c r="E1820" t="inlineStr">
        <is>
          <t>MUNKEDAL</t>
        </is>
      </c>
      <c r="G1820" t="n">
        <v>1.2</v>
      </c>
      <c r="H1820" t="n">
        <v>0</v>
      </c>
      <c r="I1820" t="n">
        <v>0</v>
      </c>
      <c r="J1820" t="n">
        <v>0</v>
      </c>
      <c r="K1820" t="n">
        <v>0</v>
      </c>
      <c r="L1820" t="n">
        <v>0</v>
      </c>
      <c r="M1820" t="n">
        <v>0</v>
      </c>
      <c r="N1820" t="n">
        <v>0</v>
      </c>
      <c r="O1820" t="n">
        <v>0</v>
      </c>
      <c r="P1820" t="n">
        <v>0</v>
      </c>
      <c r="Q1820" t="n">
        <v>0</v>
      </c>
      <c r="R1820" s="2" t="inlineStr"/>
    </row>
    <row r="1821" ht="15" customHeight="1">
      <c r="A1821" t="inlineStr">
        <is>
          <t>A 7680-2019</t>
        </is>
      </c>
      <c r="B1821" s="1" t="n">
        <v>43500</v>
      </c>
      <c r="C1821" s="1" t="n">
        <v>45227</v>
      </c>
      <c r="D1821" t="inlineStr">
        <is>
          <t>VÄSTRA GÖTALANDS LÄN</t>
        </is>
      </c>
      <c r="E1821" t="inlineStr">
        <is>
          <t>FALKÖPING</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7704-2019</t>
        </is>
      </c>
      <c r="B1822" s="1" t="n">
        <v>43500</v>
      </c>
      <c r="C1822" s="1" t="n">
        <v>45227</v>
      </c>
      <c r="D1822" t="inlineStr">
        <is>
          <t>VÄSTRA GÖTALANDS LÄN</t>
        </is>
      </c>
      <c r="E1822" t="inlineStr">
        <is>
          <t>TANUM</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7716-2019</t>
        </is>
      </c>
      <c r="B1823" s="1" t="n">
        <v>43500</v>
      </c>
      <c r="C1823" s="1" t="n">
        <v>45227</v>
      </c>
      <c r="D1823" t="inlineStr">
        <is>
          <t>VÄSTRA GÖTALANDS LÄN</t>
        </is>
      </c>
      <c r="E1823" t="inlineStr">
        <is>
          <t>SVENLJUNGA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7876-2019</t>
        </is>
      </c>
      <c r="B1824" s="1" t="n">
        <v>43500</v>
      </c>
      <c r="C1824" s="1" t="n">
        <v>45227</v>
      </c>
      <c r="D1824" t="inlineStr">
        <is>
          <t>VÄSTRA GÖTALANDS LÄN</t>
        </is>
      </c>
      <c r="E1824" t="inlineStr">
        <is>
          <t>LIDKÖPING</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7874-2019</t>
        </is>
      </c>
      <c r="B1825" s="1" t="n">
        <v>43500</v>
      </c>
      <c r="C1825" s="1" t="n">
        <v>45227</v>
      </c>
      <c r="D1825" t="inlineStr">
        <is>
          <t>VÄSTRA GÖTALANDS LÄN</t>
        </is>
      </c>
      <c r="E1825" t="inlineStr">
        <is>
          <t>STENUNGSUND</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7665-2019</t>
        </is>
      </c>
      <c r="B1826" s="1" t="n">
        <v>43500</v>
      </c>
      <c r="C1826" s="1" t="n">
        <v>45227</v>
      </c>
      <c r="D1826" t="inlineStr">
        <is>
          <t>VÄSTRA GÖTALANDS LÄN</t>
        </is>
      </c>
      <c r="E1826" t="inlineStr">
        <is>
          <t>TRANEMO</t>
        </is>
      </c>
      <c r="F1826" t="inlineStr">
        <is>
          <t>Kyrkan</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7683-2019</t>
        </is>
      </c>
      <c r="B1827" s="1" t="n">
        <v>43500</v>
      </c>
      <c r="C1827" s="1" t="n">
        <v>45227</v>
      </c>
      <c r="D1827" t="inlineStr">
        <is>
          <t>VÄSTRA GÖTALANDS LÄN</t>
        </is>
      </c>
      <c r="E1827" t="inlineStr">
        <is>
          <t>TANUM</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7700-2019</t>
        </is>
      </c>
      <c r="B1828" s="1" t="n">
        <v>43500</v>
      </c>
      <c r="C1828" s="1" t="n">
        <v>45227</v>
      </c>
      <c r="D1828" t="inlineStr">
        <is>
          <t>VÄSTRA GÖTALANDS LÄN</t>
        </is>
      </c>
      <c r="E1828" t="inlineStr">
        <is>
          <t>TANUM</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7803-2019</t>
        </is>
      </c>
      <c r="B1829" s="1" t="n">
        <v>43500</v>
      </c>
      <c r="C1829" s="1" t="n">
        <v>45227</v>
      </c>
      <c r="D1829" t="inlineStr">
        <is>
          <t>VÄSTRA GÖTALANDS LÄN</t>
        </is>
      </c>
      <c r="E1829" t="inlineStr">
        <is>
          <t>FALKÖPING</t>
        </is>
      </c>
      <c r="G1829" t="n">
        <v>2.4</v>
      </c>
      <c r="H1829" t="n">
        <v>0</v>
      </c>
      <c r="I1829" t="n">
        <v>0</v>
      </c>
      <c r="J1829" t="n">
        <v>0</v>
      </c>
      <c r="K1829" t="n">
        <v>0</v>
      </c>
      <c r="L1829" t="n">
        <v>0</v>
      </c>
      <c r="M1829" t="n">
        <v>0</v>
      </c>
      <c r="N1829" t="n">
        <v>0</v>
      </c>
      <c r="O1829" t="n">
        <v>0</v>
      </c>
      <c r="P1829" t="n">
        <v>0</v>
      </c>
      <c r="Q1829" t="n">
        <v>0</v>
      </c>
      <c r="R1829" s="2" t="inlineStr"/>
    </row>
    <row r="1830" ht="15" customHeight="1">
      <c r="A1830" t="inlineStr">
        <is>
          <t>A 7872-2019</t>
        </is>
      </c>
      <c r="B1830" s="1" t="n">
        <v>43500</v>
      </c>
      <c r="C1830" s="1" t="n">
        <v>45227</v>
      </c>
      <c r="D1830" t="inlineStr">
        <is>
          <t>VÄSTRA GÖTALANDS LÄN</t>
        </is>
      </c>
      <c r="E1830" t="inlineStr">
        <is>
          <t>TIDAHOLM</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7674-2019</t>
        </is>
      </c>
      <c r="B1831" s="1" t="n">
        <v>43500</v>
      </c>
      <c r="C1831" s="1" t="n">
        <v>45227</v>
      </c>
      <c r="D1831" t="inlineStr">
        <is>
          <t>VÄSTRA GÖTALANDS LÄN</t>
        </is>
      </c>
      <c r="E1831" t="inlineStr">
        <is>
          <t>TRANEMO</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8059-2019</t>
        </is>
      </c>
      <c r="B1832" s="1" t="n">
        <v>43501</v>
      </c>
      <c r="C1832" s="1" t="n">
        <v>45227</v>
      </c>
      <c r="D1832" t="inlineStr">
        <is>
          <t>VÄSTRA GÖTALANDS LÄN</t>
        </is>
      </c>
      <c r="E1832" t="inlineStr">
        <is>
          <t>SVENLJUNGA</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8135-2019</t>
        </is>
      </c>
      <c r="B1833" s="1" t="n">
        <v>43501</v>
      </c>
      <c r="C1833" s="1" t="n">
        <v>45227</v>
      </c>
      <c r="D1833" t="inlineStr">
        <is>
          <t>VÄSTRA GÖTALANDS LÄN</t>
        </is>
      </c>
      <c r="E1833" t="inlineStr">
        <is>
          <t>GÖTEBORG</t>
        </is>
      </c>
      <c r="G1833" t="n">
        <v>13.7</v>
      </c>
      <c r="H1833" t="n">
        <v>0</v>
      </c>
      <c r="I1833" t="n">
        <v>0</v>
      </c>
      <c r="J1833" t="n">
        <v>0</v>
      </c>
      <c r="K1833" t="n">
        <v>0</v>
      </c>
      <c r="L1833" t="n">
        <v>0</v>
      </c>
      <c r="M1833" t="n">
        <v>0</v>
      </c>
      <c r="N1833" t="n">
        <v>0</v>
      </c>
      <c r="O1833" t="n">
        <v>0</v>
      </c>
      <c r="P1833" t="n">
        <v>0</v>
      </c>
      <c r="Q1833" t="n">
        <v>0</v>
      </c>
      <c r="R1833" s="2" t="inlineStr"/>
    </row>
    <row r="1834" ht="15" customHeight="1">
      <c r="A1834" t="inlineStr">
        <is>
          <t>A 8724-2019</t>
        </is>
      </c>
      <c r="B1834" s="1" t="n">
        <v>43501</v>
      </c>
      <c r="C1834" s="1" t="n">
        <v>45227</v>
      </c>
      <c r="D1834" t="inlineStr">
        <is>
          <t>VÄSTRA GÖTALANDS LÄN</t>
        </is>
      </c>
      <c r="E1834" t="inlineStr">
        <is>
          <t>LIDKÖPING</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8183-2019</t>
        </is>
      </c>
      <c r="B1835" s="1" t="n">
        <v>43501</v>
      </c>
      <c r="C1835" s="1" t="n">
        <v>45227</v>
      </c>
      <c r="D1835" t="inlineStr">
        <is>
          <t>VÄSTRA GÖTALANDS LÄN</t>
        </is>
      </c>
      <c r="E1835" t="inlineStr">
        <is>
          <t>ULRICEHAMN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8703-2019</t>
        </is>
      </c>
      <c r="B1836" s="1" t="n">
        <v>43501</v>
      </c>
      <c r="C1836" s="1" t="n">
        <v>45227</v>
      </c>
      <c r="D1836" t="inlineStr">
        <is>
          <t>VÄSTRA GÖTALANDS LÄN</t>
        </is>
      </c>
      <c r="E1836" t="inlineStr">
        <is>
          <t>MUNKEDAL</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8748-2019</t>
        </is>
      </c>
      <c r="B1837" s="1" t="n">
        <v>43501</v>
      </c>
      <c r="C1837" s="1" t="n">
        <v>45227</v>
      </c>
      <c r="D1837" t="inlineStr">
        <is>
          <t>VÄSTRA GÖTALANDS LÄN</t>
        </is>
      </c>
      <c r="E1837" t="inlineStr">
        <is>
          <t>VARA</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7962-2019</t>
        </is>
      </c>
      <c r="B1838" s="1" t="n">
        <v>43501</v>
      </c>
      <c r="C1838" s="1" t="n">
        <v>45227</v>
      </c>
      <c r="D1838" t="inlineStr">
        <is>
          <t>VÄSTRA GÖTALANDS LÄN</t>
        </is>
      </c>
      <c r="E1838" t="inlineStr">
        <is>
          <t>BOLLEBYGD</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8060-2019</t>
        </is>
      </c>
      <c r="B1839" s="1" t="n">
        <v>43501</v>
      </c>
      <c r="C1839" s="1" t="n">
        <v>45227</v>
      </c>
      <c r="D1839" t="inlineStr">
        <is>
          <t>VÄSTRA GÖTALANDS LÄN</t>
        </is>
      </c>
      <c r="E1839" t="inlineStr">
        <is>
          <t>SVENLJUNGA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8231-2019</t>
        </is>
      </c>
      <c r="B1840" s="1" t="n">
        <v>43501</v>
      </c>
      <c r="C1840" s="1" t="n">
        <v>45227</v>
      </c>
      <c r="D1840" t="inlineStr">
        <is>
          <t>VÄSTRA GÖTALANDS LÄN</t>
        </is>
      </c>
      <c r="E1840" t="inlineStr">
        <is>
          <t>UDDEVALLA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8262-2019</t>
        </is>
      </c>
      <c r="B1841" s="1" t="n">
        <v>43501</v>
      </c>
      <c r="C1841" s="1" t="n">
        <v>45227</v>
      </c>
      <c r="D1841" t="inlineStr">
        <is>
          <t>VÄSTRA GÖTALANDS LÄN</t>
        </is>
      </c>
      <c r="E1841" t="inlineStr">
        <is>
          <t>TRANEMO</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8438-2019</t>
        </is>
      </c>
      <c r="B1842" s="1" t="n">
        <v>43502</v>
      </c>
      <c r="C1842" s="1" t="n">
        <v>45227</v>
      </c>
      <c r="D1842" t="inlineStr">
        <is>
          <t>VÄSTRA GÖTALANDS LÄN</t>
        </is>
      </c>
      <c r="E1842" t="inlineStr">
        <is>
          <t>MARK</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8531-2019</t>
        </is>
      </c>
      <c r="B1843" s="1" t="n">
        <v>43502</v>
      </c>
      <c r="C1843" s="1" t="n">
        <v>45227</v>
      </c>
      <c r="D1843" t="inlineStr">
        <is>
          <t>VÄSTRA GÖTALANDS LÄN</t>
        </is>
      </c>
      <c r="E1843" t="inlineStr">
        <is>
          <t>VÄNERSBORG</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8405-2019</t>
        </is>
      </c>
      <c r="B1844" s="1" t="n">
        <v>43502</v>
      </c>
      <c r="C1844" s="1" t="n">
        <v>45227</v>
      </c>
      <c r="D1844" t="inlineStr">
        <is>
          <t>VÄSTRA GÖTALANDS LÄN</t>
        </is>
      </c>
      <c r="E1844" t="inlineStr">
        <is>
          <t>ÅMÅL</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8415-2019</t>
        </is>
      </c>
      <c r="B1845" s="1" t="n">
        <v>43502</v>
      </c>
      <c r="C1845" s="1" t="n">
        <v>45227</v>
      </c>
      <c r="D1845" t="inlineStr">
        <is>
          <t>VÄSTRA GÖTALANDS LÄN</t>
        </is>
      </c>
      <c r="E1845" t="inlineStr">
        <is>
          <t>ÅMÅL</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8421-2019</t>
        </is>
      </c>
      <c r="B1846" s="1" t="n">
        <v>43502</v>
      </c>
      <c r="C1846" s="1" t="n">
        <v>45227</v>
      </c>
      <c r="D1846" t="inlineStr">
        <is>
          <t>VÄSTRA GÖTALANDS LÄN</t>
        </is>
      </c>
      <c r="E1846" t="inlineStr">
        <is>
          <t>BORÅS</t>
        </is>
      </c>
      <c r="G1846" t="n">
        <v>4.1</v>
      </c>
      <c r="H1846" t="n">
        <v>0</v>
      </c>
      <c r="I1846" t="n">
        <v>0</v>
      </c>
      <c r="J1846" t="n">
        <v>0</v>
      </c>
      <c r="K1846" t="n">
        <v>0</v>
      </c>
      <c r="L1846" t="n">
        <v>0</v>
      </c>
      <c r="M1846" t="n">
        <v>0</v>
      </c>
      <c r="N1846" t="n">
        <v>0</v>
      </c>
      <c r="O1846" t="n">
        <v>0</v>
      </c>
      <c r="P1846" t="n">
        <v>0</v>
      </c>
      <c r="Q1846" t="n">
        <v>0</v>
      </c>
      <c r="R1846" s="2" t="inlineStr"/>
    </row>
    <row r="1847" ht="15" customHeight="1">
      <c r="A1847" t="inlineStr">
        <is>
          <t>A 8432-2019</t>
        </is>
      </c>
      <c r="B1847" s="1" t="n">
        <v>43502</v>
      </c>
      <c r="C1847" s="1" t="n">
        <v>45227</v>
      </c>
      <c r="D1847" t="inlineStr">
        <is>
          <t>VÄSTRA GÖTALANDS LÄN</t>
        </is>
      </c>
      <c r="E1847" t="inlineStr">
        <is>
          <t>MARK</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8868-2019</t>
        </is>
      </c>
      <c r="B1848" s="1" t="n">
        <v>43502</v>
      </c>
      <c r="C1848" s="1" t="n">
        <v>45227</v>
      </c>
      <c r="D1848" t="inlineStr">
        <is>
          <t>VÄSTRA GÖTALANDS LÄN</t>
        </is>
      </c>
      <c r="E1848" t="inlineStr">
        <is>
          <t>GÖTENE</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8332-2019</t>
        </is>
      </c>
      <c r="B1849" s="1" t="n">
        <v>43502</v>
      </c>
      <c r="C1849" s="1" t="n">
        <v>45227</v>
      </c>
      <c r="D1849" t="inlineStr">
        <is>
          <t>VÄSTRA GÖTALANDS LÄN</t>
        </is>
      </c>
      <c r="E1849" t="inlineStr">
        <is>
          <t>TANUM</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8384-2019</t>
        </is>
      </c>
      <c r="B1850" s="1" t="n">
        <v>43502</v>
      </c>
      <c r="C1850" s="1" t="n">
        <v>45227</v>
      </c>
      <c r="D1850" t="inlineStr">
        <is>
          <t>VÄSTRA GÖTALANDS LÄN</t>
        </is>
      </c>
      <c r="E1850" t="inlineStr">
        <is>
          <t>TANUM</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8395-2019</t>
        </is>
      </c>
      <c r="B1851" s="1" t="n">
        <v>43502</v>
      </c>
      <c r="C1851" s="1" t="n">
        <v>45227</v>
      </c>
      <c r="D1851" t="inlineStr">
        <is>
          <t>VÄSTRA GÖTALANDS LÄN</t>
        </is>
      </c>
      <c r="E1851" t="inlineStr">
        <is>
          <t>FALKÖPING</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8411-2019</t>
        </is>
      </c>
      <c r="B1852" s="1" t="n">
        <v>43502</v>
      </c>
      <c r="C1852" s="1" t="n">
        <v>45227</v>
      </c>
      <c r="D1852" t="inlineStr">
        <is>
          <t>VÄSTRA GÖTALANDS LÄN</t>
        </is>
      </c>
      <c r="E1852" t="inlineStr">
        <is>
          <t>FALKÖPING</t>
        </is>
      </c>
      <c r="G1852" t="n">
        <v>5.6</v>
      </c>
      <c r="H1852" t="n">
        <v>0</v>
      </c>
      <c r="I1852" t="n">
        <v>0</v>
      </c>
      <c r="J1852" t="n">
        <v>0</v>
      </c>
      <c r="K1852" t="n">
        <v>0</v>
      </c>
      <c r="L1852" t="n">
        <v>0</v>
      </c>
      <c r="M1852" t="n">
        <v>0</v>
      </c>
      <c r="N1852" t="n">
        <v>0</v>
      </c>
      <c r="O1852" t="n">
        <v>0</v>
      </c>
      <c r="P1852" t="n">
        <v>0</v>
      </c>
      <c r="Q1852" t="n">
        <v>0</v>
      </c>
      <c r="R1852" s="2" t="inlineStr"/>
    </row>
    <row r="1853" ht="15" customHeight="1">
      <c r="A1853" t="inlineStr">
        <is>
          <t>A 8863-2019</t>
        </is>
      </c>
      <c r="B1853" s="1" t="n">
        <v>43502</v>
      </c>
      <c r="C1853" s="1" t="n">
        <v>45227</v>
      </c>
      <c r="D1853" t="inlineStr">
        <is>
          <t>VÄSTRA GÖTALANDS LÄN</t>
        </is>
      </c>
      <c r="E1853" t="inlineStr">
        <is>
          <t>VÄNERSBORG</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8360-2019</t>
        </is>
      </c>
      <c r="B1854" s="1" t="n">
        <v>43502</v>
      </c>
      <c r="C1854" s="1" t="n">
        <v>45227</v>
      </c>
      <c r="D1854" t="inlineStr">
        <is>
          <t>VÄSTRA GÖTALANDS LÄN</t>
        </is>
      </c>
      <c r="E1854" t="inlineStr">
        <is>
          <t>STRÖMSTAD</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8764-2019</t>
        </is>
      </c>
      <c r="B1855" s="1" t="n">
        <v>43502</v>
      </c>
      <c r="C1855" s="1" t="n">
        <v>45227</v>
      </c>
      <c r="D1855" t="inlineStr">
        <is>
          <t>VÄSTRA GÖTALANDS LÄN</t>
        </is>
      </c>
      <c r="E1855" t="inlineStr">
        <is>
          <t>GÖTENE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8828-2019</t>
        </is>
      </c>
      <c r="B1856" s="1" t="n">
        <v>43502</v>
      </c>
      <c r="C1856" s="1" t="n">
        <v>45227</v>
      </c>
      <c r="D1856" t="inlineStr">
        <is>
          <t>VÄSTRA GÖTALANDS LÄN</t>
        </is>
      </c>
      <c r="E1856" t="inlineStr">
        <is>
          <t>VÄNERSBORG</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8656-2019</t>
        </is>
      </c>
      <c r="B1857" s="1" t="n">
        <v>43503</v>
      </c>
      <c r="C1857" s="1" t="n">
        <v>45227</v>
      </c>
      <c r="D1857" t="inlineStr">
        <is>
          <t>VÄSTRA GÖTALANDS LÄN</t>
        </is>
      </c>
      <c r="E1857" t="inlineStr">
        <is>
          <t>TJÖRN</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8740-2019</t>
        </is>
      </c>
      <c r="B1858" s="1" t="n">
        <v>43503</v>
      </c>
      <c r="C1858" s="1" t="n">
        <v>45227</v>
      </c>
      <c r="D1858" t="inlineStr">
        <is>
          <t>VÄSTRA GÖTALANDS LÄN</t>
        </is>
      </c>
      <c r="E1858" t="inlineStr">
        <is>
          <t>TJÖRN</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8963-2019</t>
        </is>
      </c>
      <c r="B1859" s="1" t="n">
        <v>43503</v>
      </c>
      <c r="C1859" s="1" t="n">
        <v>45227</v>
      </c>
      <c r="D1859" t="inlineStr">
        <is>
          <t>VÄSTRA GÖTALANDS LÄN</t>
        </is>
      </c>
      <c r="E1859" t="inlineStr">
        <is>
          <t>VARA</t>
        </is>
      </c>
      <c r="G1859" t="n">
        <v>4.9</v>
      </c>
      <c r="H1859" t="n">
        <v>0</v>
      </c>
      <c r="I1859" t="n">
        <v>0</v>
      </c>
      <c r="J1859" t="n">
        <v>0</v>
      </c>
      <c r="K1859" t="n">
        <v>0</v>
      </c>
      <c r="L1859" t="n">
        <v>0</v>
      </c>
      <c r="M1859" t="n">
        <v>0</v>
      </c>
      <c r="N1859" t="n">
        <v>0</v>
      </c>
      <c r="O1859" t="n">
        <v>0</v>
      </c>
      <c r="P1859" t="n">
        <v>0</v>
      </c>
      <c r="Q1859" t="n">
        <v>0</v>
      </c>
      <c r="R1859" s="2" t="inlineStr"/>
    </row>
    <row r="1860" ht="15" customHeight="1">
      <c r="A1860" t="inlineStr">
        <is>
          <t>A 8672-2019</t>
        </is>
      </c>
      <c r="B1860" s="1" t="n">
        <v>43503</v>
      </c>
      <c r="C1860" s="1" t="n">
        <v>45227</v>
      </c>
      <c r="D1860" t="inlineStr">
        <is>
          <t>VÄSTRA GÖTALANDS LÄN</t>
        </is>
      </c>
      <c r="E1860" t="inlineStr">
        <is>
          <t>ORUST</t>
        </is>
      </c>
      <c r="G1860" t="n">
        <v>10.6</v>
      </c>
      <c r="H1860" t="n">
        <v>0</v>
      </c>
      <c r="I1860" t="n">
        <v>0</v>
      </c>
      <c r="J1860" t="n">
        <v>0</v>
      </c>
      <c r="K1860" t="n">
        <v>0</v>
      </c>
      <c r="L1860" t="n">
        <v>0</v>
      </c>
      <c r="M1860" t="n">
        <v>0</v>
      </c>
      <c r="N1860" t="n">
        <v>0</v>
      </c>
      <c r="O1860" t="n">
        <v>0</v>
      </c>
      <c r="P1860" t="n">
        <v>0</v>
      </c>
      <c r="Q1860" t="n">
        <v>0</v>
      </c>
      <c r="R1860" s="2" t="inlineStr"/>
    </row>
    <row r="1861" ht="15" customHeight="1">
      <c r="A1861" t="inlineStr">
        <is>
          <t>A 8659-2019</t>
        </is>
      </c>
      <c r="B1861" s="1" t="n">
        <v>43503</v>
      </c>
      <c r="C1861" s="1" t="n">
        <v>45227</v>
      </c>
      <c r="D1861" t="inlineStr">
        <is>
          <t>VÄSTRA GÖTALANDS LÄN</t>
        </is>
      </c>
      <c r="E1861" t="inlineStr">
        <is>
          <t>TJÖRN</t>
        </is>
      </c>
      <c r="G1861" t="n">
        <v>6.9</v>
      </c>
      <c r="H1861" t="n">
        <v>0</v>
      </c>
      <c r="I1861" t="n">
        <v>0</v>
      </c>
      <c r="J1861" t="n">
        <v>0</v>
      </c>
      <c r="K1861" t="n">
        <v>0</v>
      </c>
      <c r="L1861" t="n">
        <v>0</v>
      </c>
      <c r="M1861" t="n">
        <v>0</v>
      </c>
      <c r="N1861" t="n">
        <v>0</v>
      </c>
      <c r="O1861" t="n">
        <v>0</v>
      </c>
      <c r="P1861" t="n">
        <v>0</v>
      </c>
      <c r="Q1861" t="n">
        <v>0</v>
      </c>
      <c r="R1861" s="2" t="inlineStr"/>
    </row>
    <row r="1862" ht="15" customHeight="1">
      <c r="A1862" t="inlineStr">
        <is>
          <t>A 8597-2019</t>
        </is>
      </c>
      <c r="B1862" s="1" t="n">
        <v>43503</v>
      </c>
      <c r="C1862" s="1" t="n">
        <v>45227</v>
      </c>
      <c r="D1862" t="inlineStr">
        <is>
          <t>VÄSTRA GÖTALANDS LÄN</t>
        </is>
      </c>
      <c r="E1862" t="inlineStr">
        <is>
          <t>TJÖRN</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8646-2019</t>
        </is>
      </c>
      <c r="B1863" s="1" t="n">
        <v>43503</v>
      </c>
      <c r="C1863" s="1" t="n">
        <v>45227</v>
      </c>
      <c r="D1863" t="inlineStr">
        <is>
          <t>VÄSTRA GÖTALANDS LÄN</t>
        </is>
      </c>
      <c r="E1863" t="inlineStr">
        <is>
          <t>DALS-ED</t>
        </is>
      </c>
      <c r="F1863" t="inlineStr">
        <is>
          <t>Övriga Aktiebolag</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8683-2019</t>
        </is>
      </c>
      <c r="B1864" s="1" t="n">
        <v>43503</v>
      </c>
      <c r="C1864" s="1" t="n">
        <v>45227</v>
      </c>
      <c r="D1864" t="inlineStr">
        <is>
          <t>VÄSTRA GÖTALANDS LÄN</t>
        </is>
      </c>
      <c r="E1864" t="inlineStr">
        <is>
          <t>FÄRGELANDA</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8789-2019</t>
        </is>
      </c>
      <c r="B1865" s="1" t="n">
        <v>43503</v>
      </c>
      <c r="C1865" s="1" t="n">
        <v>45227</v>
      </c>
      <c r="D1865" t="inlineStr">
        <is>
          <t>VÄSTRA GÖTALANDS LÄN</t>
        </is>
      </c>
      <c r="E1865" t="inlineStr">
        <is>
          <t>MARIESTAD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8824-2019</t>
        </is>
      </c>
      <c r="B1866" s="1" t="n">
        <v>43503</v>
      </c>
      <c r="C1866" s="1" t="n">
        <v>45227</v>
      </c>
      <c r="D1866" t="inlineStr">
        <is>
          <t>VÄSTRA GÖTALANDS LÄN</t>
        </is>
      </c>
      <c r="E1866" t="inlineStr">
        <is>
          <t>HERRLJUNGA</t>
        </is>
      </c>
      <c r="G1866" t="n">
        <v>3.1</v>
      </c>
      <c r="H1866" t="n">
        <v>0</v>
      </c>
      <c r="I1866" t="n">
        <v>0</v>
      </c>
      <c r="J1866" t="n">
        <v>0</v>
      </c>
      <c r="K1866" t="n">
        <v>0</v>
      </c>
      <c r="L1866" t="n">
        <v>0</v>
      </c>
      <c r="M1866" t="n">
        <v>0</v>
      </c>
      <c r="N1866" t="n">
        <v>0</v>
      </c>
      <c r="O1866" t="n">
        <v>0</v>
      </c>
      <c r="P1866" t="n">
        <v>0</v>
      </c>
      <c r="Q1866" t="n">
        <v>0</v>
      </c>
      <c r="R1866" s="2" t="inlineStr"/>
    </row>
    <row r="1867" ht="15" customHeight="1">
      <c r="A1867" t="inlineStr">
        <is>
          <t>A 9032-2019</t>
        </is>
      </c>
      <c r="B1867" s="1" t="n">
        <v>43504</v>
      </c>
      <c r="C1867" s="1" t="n">
        <v>45227</v>
      </c>
      <c r="D1867" t="inlineStr">
        <is>
          <t>VÄSTRA GÖTALANDS LÄN</t>
        </is>
      </c>
      <c r="E1867" t="inlineStr">
        <is>
          <t>TÖREBODA</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9232-2019</t>
        </is>
      </c>
      <c r="B1868" s="1" t="n">
        <v>43504</v>
      </c>
      <c r="C1868" s="1" t="n">
        <v>45227</v>
      </c>
      <c r="D1868" t="inlineStr">
        <is>
          <t>VÄSTRA GÖTALANDS LÄN</t>
        </is>
      </c>
      <c r="E1868" t="inlineStr">
        <is>
          <t>TANUM</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9053-2019</t>
        </is>
      </c>
      <c r="B1869" s="1" t="n">
        <v>43504</v>
      </c>
      <c r="C1869" s="1" t="n">
        <v>45227</v>
      </c>
      <c r="D1869" t="inlineStr">
        <is>
          <t>VÄSTRA GÖTALANDS LÄN</t>
        </is>
      </c>
      <c r="E1869" t="inlineStr">
        <is>
          <t>GULLSPÅNG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9145-2019</t>
        </is>
      </c>
      <c r="B1870" s="1" t="n">
        <v>43504</v>
      </c>
      <c r="C1870" s="1" t="n">
        <v>45227</v>
      </c>
      <c r="D1870" t="inlineStr">
        <is>
          <t>VÄSTRA GÖTALANDS LÄN</t>
        </is>
      </c>
      <c r="E1870" t="inlineStr">
        <is>
          <t>BOLLEBYGD</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9282-2019</t>
        </is>
      </c>
      <c r="B1871" s="1" t="n">
        <v>43504</v>
      </c>
      <c r="C1871" s="1" t="n">
        <v>45227</v>
      </c>
      <c r="D1871" t="inlineStr">
        <is>
          <t>VÄSTRA GÖTALANDS LÄN</t>
        </is>
      </c>
      <c r="E1871" t="inlineStr">
        <is>
          <t>ULRICEHAMN</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9066-2019</t>
        </is>
      </c>
      <c r="B1872" s="1" t="n">
        <v>43504</v>
      </c>
      <c r="C1872" s="1" t="n">
        <v>45227</v>
      </c>
      <c r="D1872" t="inlineStr">
        <is>
          <t>VÄSTRA GÖTALANDS LÄN</t>
        </is>
      </c>
      <c r="E1872" t="inlineStr">
        <is>
          <t>ÅMÅL</t>
        </is>
      </c>
      <c r="G1872" t="n">
        <v>9</v>
      </c>
      <c r="H1872" t="n">
        <v>0</v>
      </c>
      <c r="I1872" t="n">
        <v>0</v>
      </c>
      <c r="J1872" t="n">
        <v>0</v>
      </c>
      <c r="K1872" t="n">
        <v>0</v>
      </c>
      <c r="L1872" t="n">
        <v>0</v>
      </c>
      <c r="M1872" t="n">
        <v>0</v>
      </c>
      <c r="N1872" t="n">
        <v>0</v>
      </c>
      <c r="O1872" t="n">
        <v>0</v>
      </c>
      <c r="P1872" t="n">
        <v>0</v>
      </c>
      <c r="Q1872" t="n">
        <v>0</v>
      </c>
      <c r="R1872" s="2" t="inlineStr"/>
    </row>
    <row r="1873" ht="15" customHeight="1">
      <c r="A1873" t="inlineStr">
        <is>
          <t>A 9188-2019</t>
        </is>
      </c>
      <c r="B1873" s="1" t="n">
        <v>43505</v>
      </c>
      <c r="C1873" s="1" t="n">
        <v>45227</v>
      </c>
      <c r="D1873" t="inlineStr">
        <is>
          <t>VÄSTRA GÖTALANDS LÄN</t>
        </is>
      </c>
      <c r="E1873" t="inlineStr">
        <is>
          <t>ALE</t>
        </is>
      </c>
      <c r="G1873" t="n">
        <v>4</v>
      </c>
      <c r="H1873" t="n">
        <v>0</v>
      </c>
      <c r="I1873" t="n">
        <v>0</v>
      </c>
      <c r="J1873" t="n">
        <v>0</v>
      </c>
      <c r="K1873" t="n">
        <v>0</v>
      </c>
      <c r="L1873" t="n">
        <v>0</v>
      </c>
      <c r="M1873" t="n">
        <v>0</v>
      </c>
      <c r="N1873" t="n">
        <v>0</v>
      </c>
      <c r="O1873" t="n">
        <v>0</v>
      </c>
      <c r="P1873" t="n">
        <v>0</v>
      </c>
      <c r="Q1873" t="n">
        <v>0</v>
      </c>
      <c r="R1873" s="2" t="inlineStr"/>
    </row>
    <row r="1874" ht="15" customHeight="1">
      <c r="A1874" t="inlineStr">
        <is>
          <t>A 9204-2019</t>
        </is>
      </c>
      <c r="B1874" s="1" t="n">
        <v>43506</v>
      </c>
      <c r="C1874" s="1" t="n">
        <v>45227</v>
      </c>
      <c r="D1874" t="inlineStr">
        <is>
          <t>VÄSTRA GÖTALANDS LÄN</t>
        </is>
      </c>
      <c r="E1874" t="inlineStr">
        <is>
          <t>STRÖMSTAD</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9208-2019</t>
        </is>
      </c>
      <c r="B1875" s="1" t="n">
        <v>43506</v>
      </c>
      <c r="C1875" s="1" t="n">
        <v>45227</v>
      </c>
      <c r="D1875" t="inlineStr">
        <is>
          <t>VÄSTRA GÖTALANDS LÄN</t>
        </is>
      </c>
      <c r="E1875" t="inlineStr">
        <is>
          <t>STRÖMSTAD</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9202-2019</t>
        </is>
      </c>
      <c r="B1876" s="1" t="n">
        <v>43506</v>
      </c>
      <c r="C1876" s="1" t="n">
        <v>45227</v>
      </c>
      <c r="D1876" t="inlineStr">
        <is>
          <t>VÄSTRA GÖTALANDS LÄN</t>
        </is>
      </c>
      <c r="E1876" t="inlineStr">
        <is>
          <t>STRÖMSTAD</t>
        </is>
      </c>
      <c r="G1876" t="n">
        <v>5</v>
      </c>
      <c r="H1876" t="n">
        <v>0</v>
      </c>
      <c r="I1876" t="n">
        <v>0</v>
      </c>
      <c r="J1876" t="n">
        <v>0</v>
      </c>
      <c r="K1876" t="n">
        <v>0</v>
      </c>
      <c r="L1876" t="n">
        <v>0</v>
      </c>
      <c r="M1876" t="n">
        <v>0</v>
      </c>
      <c r="N1876" t="n">
        <v>0</v>
      </c>
      <c r="O1876" t="n">
        <v>0</v>
      </c>
      <c r="P1876" t="n">
        <v>0</v>
      </c>
      <c r="Q1876" t="n">
        <v>0</v>
      </c>
      <c r="R1876" s="2" t="inlineStr"/>
    </row>
    <row r="1877" ht="15" customHeight="1">
      <c r="A1877" t="inlineStr">
        <is>
          <t>A 9339-2019</t>
        </is>
      </c>
      <c r="B1877" s="1" t="n">
        <v>43507</v>
      </c>
      <c r="C1877" s="1" t="n">
        <v>45227</v>
      </c>
      <c r="D1877" t="inlineStr">
        <is>
          <t>VÄSTRA GÖTALANDS LÄN</t>
        </is>
      </c>
      <c r="E1877" t="inlineStr">
        <is>
          <t>ULRICEHAMN</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9345-2019</t>
        </is>
      </c>
      <c r="B1878" s="1" t="n">
        <v>43507</v>
      </c>
      <c r="C1878" s="1" t="n">
        <v>45227</v>
      </c>
      <c r="D1878" t="inlineStr">
        <is>
          <t>VÄSTRA GÖTALANDS LÄN</t>
        </is>
      </c>
      <c r="E1878" t="inlineStr">
        <is>
          <t>ULRICEHAMN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9268-2019</t>
        </is>
      </c>
      <c r="B1879" s="1" t="n">
        <v>43507</v>
      </c>
      <c r="C1879" s="1" t="n">
        <v>45227</v>
      </c>
      <c r="D1879" t="inlineStr">
        <is>
          <t>VÄSTRA GÖTALANDS LÄN</t>
        </is>
      </c>
      <c r="E1879" t="inlineStr">
        <is>
          <t>ULRICEHAMN</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9443-2019</t>
        </is>
      </c>
      <c r="B1880" s="1" t="n">
        <v>43507</v>
      </c>
      <c r="C1880" s="1" t="n">
        <v>45227</v>
      </c>
      <c r="D1880" t="inlineStr">
        <is>
          <t>VÄSTRA GÖTALANDS LÄN</t>
        </is>
      </c>
      <c r="E1880" t="inlineStr">
        <is>
          <t>KARLSBORG</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9298-2019</t>
        </is>
      </c>
      <c r="B1881" s="1" t="n">
        <v>43507</v>
      </c>
      <c r="C1881" s="1" t="n">
        <v>45227</v>
      </c>
      <c r="D1881" t="inlineStr">
        <is>
          <t>VÄSTRA GÖTALANDS LÄN</t>
        </is>
      </c>
      <c r="E1881" t="inlineStr">
        <is>
          <t>DALS-ED</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9308-2019</t>
        </is>
      </c>
      <c r="B1882" s="1" t="n">
        <v>43507</v>
      </c>
      <c r="C1882" s="1" t="n">
        <v>45227</v>
      </c>
      <c r="D1882" t="inlineStr">
        <is>
          <t>VÄSTRA GÖTALANDS LÄN</t>
        </is>
      </c>
      <c r="E1882" t="inlineStr">
        <is>
          <t>DALS-ED</t>
        </is>
      </c>
      <c r="G1882" t="n">
        <v>15.6</v>
      </c>
      <c r="H1882" t="n">
        <v>0</v>
      </c>
      <c r="I1882" t="n">
        <v>0</v>
      </c>
      <c r="J1882" t="n">
        <v>0</v>
      </c>
      <c r="K1882" t="n">
        <v>0</v>
      </c>
      <c r="L1882" t="n">
        <v>0</v>
      </c>
      <c r="M1882" t="n">
        <v>0</v>
      </c>
      <c r="N1882" t="n">
        <v>0</v>
      </c>
      <c r="O1882" t="n">
        <v>0</v>
      </c>
      <c r="P1882" t="n">
        <v>0</v>
      </c>
      <c r="Q1882" t="n">
        <v>0</v>
      </c>
      <c r="R1882" s="2" t="inlineStr"/>
    </row>
    <row r="1883" ht="15" customHeight="1">
      <c r="A1883" t="inlineStr">
        <is>
          <t>A 9321-2019</t>
        </is>
      </c>
      <c r="B1883" s="1" t="n">
        <v>43507</v>
      </c>
      <c r="C1883" s="1" t="n">
        <v>45227</v>
      </c>
      <c r="D1883" t="inlineStr">
        <is>
          <t>VÄSTRA GÖTALANDS LÄN</t>
        </is>
      </c>
      <c r="E1883" t="inlineStr">
        <is>
          <t>MARIESTAD</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9372-2019</t>
        </is>
      </c>
      <c r="B1884" s="1" t="n">
        <v>43507</v>
      </c>
      <c r="C1884" s="1" t="n">
        <v>45227</v>
      </c>
      <c r="D1884" t="inlineStr">
        <is>
          <t>VÄSTRA GÖTALANDS LÄN</t>
        </is>
      </c>
      <c r="E1884" t="inlineStr">
        <is>
          <t>GULLSPÅNG</t>
        </is>
      </c>
      <c r="G1884" t="n">
        <v>3.3</v>
      </c>
      <c r="H1884" t="n">
        <v>0</v>
      </c>
      <c r="I1884" t="n">
        <v>0</v>
      </c>
      <c r="J1884" t="n">
        <v>0</v>
      </c>
      <c r="K1884" t="n">
        <v>0</v>
      </c>
      <c r="L1884" t="n">
        <v>0</v>
      </c>
      <c r="M1884" t="n">
        <v>0</v>
      </c>
      <c r="N1884" t="n">
        <v>0</v>
      </c>
      <c r="O1884" t="n">
        <v>0</v>
      </c>
      <c r="P1884" t="n">
        <v>0</v>
      </c>
      <c r="Q1884" t="n">
        <v>0</v>
      </c>
      <c r="R1884" s="2" t="inlineStr"/>
    </row>
    <row r="1885" ht="15" customHeight="1">
      <c r="A1885" t="inlineStr">
        <is>
          <t>A 9252-2019</t>
        </is>
      </c>
      <c r="B1885" s="1" t="n">
        <v>43507</v>
      </c>
      <c r="C1885" s="1" t="n">
        <v>45227</v>
      </c>
      <c r="D1885" t="inlineStr">
        <is>
          <t>VÄSTRA GÖTALANDS LÄN</t>
        </is>
      </c>
      <c r="E1885" t="inlineStr">
        <is>
          <t>TRANEMO</t>
        </is>
      </c>
      <c r="F1885" t="inlineStr">
        <is>
          <t>Sveaskog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9470-2019</t>
        </is>
      </c>
      <c r="B1886" s="1" t="n">
        <v>43507</v>
      </c>
      <c r="C1886" s="1" t="n">
        <v>45227</v>
      </c>
      <c r="D1886" t="inlineStr">
        <is>
          <t>VÄSTRA GÖTALANDS LÄN</t>
        </is>
      </c>
      <c r="E1886" t="inlineStr">
        <is>
          <t>VÅRGÅRDA</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9647-2019</t>
        </is>
      </c>
      <c r="B1887" s="1" t="n">
        <v>43508</v>
      </c>
      <c r="C1887" s="1" t="n">
        <v>45227</v>
      </c>
      <c r="D1887" t="inlineStr">
        <is>
          <t>VÄSTRA GÖTALANDS LÄN</t>
        </is>
      </c>
      <c r="E1887" t="inlineStr">
        <is>
          <t>UDDEVALLA</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9707-2019</t>
        </is>
      </c>
      <c r="B1888" s="1" t="n">
        <v>43508</v>
      </c>
      <c r="C1888" s="1" t="n">
        <v>45227</v>
      </c>
      <c r="D1888" t="inlineStr">
        <is>
          <t>VÄSTRA GÖTALANDS LÄN</t>
        </is>
      </c>
      <c r="E1888" t="inlineStr">
        <is>
          <t>BENGTSFORS</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9570-2019</t>
        </is>
      </c>
      <c r="B1889" s="1" t="n">
        <v>43508</v>
      </c>
      <c r="C1889" s="1" t="n">
        <v>45227</v>
      </c>
      <c r="D1889" t="inlineStr">
        <is>
          <t>VÄSTRA GÖTALANDS LÄN</t>
        </is>
      </c>
      <c r="E1889" t="inlineStr">
        <is>
          <t>BORÅS</t>
        </is>
      </c>
      <c r="G1889" t="n">
        <v>4.3</v>
      </c>
      <c r="H1889" t="n">
        <v>0</v>
      </c>
      <c r="I1889" t="n">
        <v>0</v>
      </c>
      <c r="J1889" t="n">
        <v>0</v>
      </c>
      <c r="K1889" t="n">
        <v>0</v>
      </c>
      <c r="L1889" t="n">
        <v>0</v>
      </c>
      <c r="M1889" t="n">
        <v>0</v>
      </c>
      <c r="N1889" t="n">
        <v>0</v>
      </c>
      <c r="O1889" t="n">
        <v>0</v>
      </c>
      <c r="P1889" t="n">
        <v>0</v>
      </c>
      <c r="Q1889" t="n">
        <v>0</v>
      </c>
      <c r="R1889" s="2" t="inlineStr"/>
    </row>
    <row r="1890" ht="15" customHeight="1">
      <c r="A1890" t="inlineStr">
        <is>
          <t>A 9694-2019</t>
        </is>
      </c>
      <c r="B1890" s="1" t="n">
        <v>43508</v>
      </c>
      <c r="C1890" s="1" t="n">
        <v>45227</v>
      </c>
      <c r="D1890" t="inlineStr">
        <is>
          <t>VÄSTRA GÖTALANDS LÄN</t>
        </is>
      </c>
      <c r="E1890" t="inlineStr">
        <is>
          <t>BENGTSFORS</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9782-2019</t>
        </is>
      </c>
      <c r="B1891" s="1" t="n">
        <v>43509</v>
      </c>
      <c r="C1891" s="1" t="n">
        <v>45227</v>
      </c>
      <c r="D1891" t="inlineStr">
        <is>
          <t>VÄSTRA GÖTALANDS LÄN</t>
        </is>
      </c>
      <c r="E1891" t="inlineStr">
        <is>
          <t>TÖREBODA</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9908-2019</t>
        </is>
      </c>
      <c r="B1892" s="1" t="n">
        <v>43509</v>
      </c>
      <c r="C1892" s="1" t="n">
        <v>45227</v>
      </c>
      <c r="D1892" t="inlineStr">
        <is>
          <t>VÄSTRA GÖTALANDS LÄN</t>
        </is>
      </c>
      <c r="E1892" t="inlineStr">
        <is>
          <t>STENUNGSUND</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9770-2019</t>
        </is>
      </c>
      <c r="B1893" s="1" t="n">
        <v>43509</v>
      </c>
      <c r="C1893" s="1" t="n">
        <v>45227</v>
      </c>
      <c r="D1893" t="inlineStr">
        <is>
          <t>VÄSTRA GÖTALANDS LÄN</t>
        </is>
      </c>
      <c r="E1893" t="inlineStr">
        <is>
          <t>MARIESTAD</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9825-2019</t>
        </is>
      </c>
      <c r="B1894" s="1" t="n">
        <v>43509</v>
      </c>
      <c r="C1894" s="1" t="n">
        <v>45227</v>
      </c>
      <c r="D1894" t="inlineStr">
        <is>
          <t>VÄSTRA GÖTALANDS LÄN</t>
        </is>
      </c>
      <c r="E1894" t="inlineStr">
        <is>
          <t>FALKÖPING</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9900-2019</t>
        </is>
      </c>
      <c r="B1895" s="1" t="n">
        <v>43509</v>
      </c>
      <c r="C1895" s="1" t="n">
        <v>45227</v>
      </c>
      <c r="D1895" t="inlineStr">
        <is>
          <t>VÄSTRA GÖTALANDS LÄN</t>
        </is>
      </c>
      <c r="E1895" t="inlineStr">
        <is>
          <t>MARIESTAD</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9810-2019</t>
        </is>
      </c>
      <c r="B1896" s="1" t="n">
        <v>43509</v>
      </c>
      <c r="C1896" s="1" t="n">
        <v>45227</v>
      </c>
      <c r="D1896" t="inlineStr">
        <is>
          <t>VÄSTRA GÖTALANDS LÄN</t>
        </is>
      </c>
      <c r="E1896" t="inlineStr">
        <is>
          <t>KARLSBORG</t>
        </is>
      </c>
      <c r="G1896" t="n">
        <v>0.6</v>
      </c>
      <c r="H1896" t="n">
        <v>0</v>
      </c>
      <c r="I1896" t="n">
        <v>0</v>
      </c>
      <c r="J1896" t="n">
        <v>0</v>
      </c>
      <c r="K1896" t="n">
        <v>0</v>
      </c>
      <c r="L1896" t="n">
        <v>0</v>
      </c>
      <c r="M1896" t="n">
        <v>0</v>
      </c>
      <c r="N1896" t="n">
        <v>0</v>
      </c>
      <c r="O1896" t="n">
        <v>0</v>
      </c>
      <c r="P1896" t="n">
        <v>0</v>
      </c>
      <c r="Q1896" t="n">
        <v>0</v>
      </c>
      <c r="R1896" s="2" t="inlineStr"/>
    </row>
    <row r="1897" ht="15" customHeight="1">
      <c r="A1897" t="inlineStr">
        <is>
          <t>A 9932-2019</t>
        </is>
      </c>
      <c r="B1897" s="1" t="n">
        <v>43509</v>
      </c>
      <c r="C1897" s="1" t="n">
        <v>45227</v>
      </c>
      <c r="D1897" t="inlineStr">
        <is>
          <t>VÄSTRA GÖTALANDS LÄN</t>
        </is>
      </c>
      <c r="E1897" t="inlineStr">
        <is>
          <t>ORUST</t>
        </is>
      </c>
      <c r="F1897" t="inlineStr">
        <is>
          <t>Kommuner</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9775-2019</t>
        </is>
      </c>
      <c r="B1898" s="1" t="n">
        <v>43509</v>
      </c>
      <c r="C1898" s="1" t="n">
        <v>45227</v>
      </c>
      <c r="D1898" t="inlineStr">
        <is>
          <t>VÄSTRA GÖTALANDS LÄN</t>
        </is>
      </c>
      <c r="E1898" t="inlineStr">
        <is>
          <t>KARLSBORG</t>
        </is>
      </c>
      <c r="G1898" t="n">
        <v>7.5</v>
      </c>
      <c r="H1898" t="n">
        <v>0</v>
      </c>
      <c r="I1898" t="n">
        <v>0</v>
      </c>
      <c r="J1898" t="n">
        <v>0</v>
      </c>
      <c r="K1898" t="n">
        <v>0</v>
      </c>
      <c r="L1898" t="n">
        <v>0</v>
      </c>
      <c r="M1898" t="n">
        <v>0</v>
      </c>
      <c r="N1898" t="n">
        <v>0</v>
      </c>
      <c r="O1898" t="n">
        <v>0</v>
      </c>
      <c r="P1898" t="n">
        <v>0</v>
      </c>
      <c r="Q1898" t="n">
        <v>0</v>
      </c>
      <c r="R1898" s="2" t="inlineStr"/>
    </row>
    <row r="1899" ht="15" customHeight="1">
      <c r="A1899" t="inlineStr">
        <is>
          <t>A 9796-2019</t>
        </is>
      </c>
      <c r="B1899" s="1" t="n">
        <v>43509</v>
      </c>
      <c r="C1899" s="1" t="n">
        <v>45227</v>
      </c>
      <c r="D1899" t="inlineStr">
        <is>
          <t>VÄSTRA GÖTALANDS LÄN</t>
        </is>
      </c>
      <c r="E1899" t="inlineStr">
        <is>
          <t>FALKÖPING</t>
        </is>
      </c>
      <c r="G1899" t="n">
        <v>7.2</v>
      </c>
      <c r="H1899" t="n">
        <v>0</v>
      </c>
      <c r="I1899" t="n">
        <v>0</v>
      </c>
      <c r="J1899" t="n">
        <v>0</v>
      </c>
      <c r="K1899" t="n">
        <v>0</v>
      </c>
      <c r="L1899" t="n">
        <v>0</v>
      </c>
      <c r="M1899" t="n">
        <v>0</v>
      </c>
      <c r="N1899" t="n">
        <v>0</v>
      </c>
      <c r="O1899" t="n">
        <v>0</v>
      </c>
      <c r="P1899" t="n">
        <v>0</v>
      </c>
      <c r="Q1899" t="n">
        <v>0</v>
      </c>
      <c r="R1899" s="2" t="inlineStr"/>
    </row>
    <row r="1900" ht="15" customHeight="1">
      <c r="A1900" t="inlineStr">
        <is>
          <t>A 9823-2019</t>
        </is>
      </c>
      <c r="B1900" s="1" t="n">
        <v>43509</v>
      </c>
      <c r="C1900" s="1" t="n">
        <v>45227</v>
      </c>
      <c r="D1900" t="inlineStr">
        <is>
          <t>VÄSTRA GÖTALANDS LÄN</t>
        </is>
      </c>
      <c r="E1900" t="inlineStr">
        <is>
          <t>STRÖMSTAD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9914-2019</t>
        </is>
      </c>
      <c r="B1901" s="1" t="n">
        <v>43509</v>
      </c>
      <c r="C1901" s="1" t="n">
        <v>45227</v>
      </c>
      <c r="D1901" t="inlineStr">
        <is>
          <t>VÄSTRA GÖTALANDS LÄN</t>
        </is>
      </c>
      <c r="E1901" t="inlineStr">
        <is>
          <t>STENUNGSUND</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10058-2019</t>
        </is>
      </c>
      <c r="B1902" s="1" t="n">
        <v>43510</v>
      </c>
      <c r="C1902" s="1" t="n">
        <v>45227</v>
      </c>
      <c r="D1902" t="inlineStr">
        <is>
          <t>VÄSTRA GÖTALANDS LÄN</t>
        </is>
      </c>
      <c r="E1902" t="inlineStr">
        <is>
          <t>MUNKEDAL</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10070-2019</t>
        </is>
      </c>
      <c r="B1903" s="1" t="n">
        <v>43510</v>
      </c>
      <c r="C1903" s="1" t="n">
        <v>45227</v>
      </c>
      <c r="D1903" t="inlineStr">
        <is>
          <t>VÄSTRA GÖTALANDS LÄN</t>
        </is>
      </c>
      <c r="E1903" t="inlineStr">
        <is>
          <t>TRANEMO</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10221-2019</t>
        </is>
      </c>
      <c r="B1904" s="1" t="n">
        <v>43510</v>
      </c>
      <c r="C1904" s="1" t="n">
        <v>45227</v>
      </c>
      <c r="D1904" t="inlineStr">
        <is>
          <t>VÄSTRA GÖTALANDS LÄN</t>
        </is>
      </c>
      <c r="E1904" t="inlineStr">
        <is>
          <t>SKARA</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10235-2019</t>
        </is>
      </c>
      <c r="B1905" s="1" t="n">
        <v>43510</v>
      </c>
      <c r="C1905" s="1" t="n">
        <v>45227</v>
      </c>
      <c r="D1905" t="inlineStr">
        <is>
          <t>VÄSTRA GÖTALANDS LÄN</t>
        </is>
      </c>
      <c r="E1905" t="inlineStr">
        <is>
          <t>FÄRGELANDA</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10048-2019</t>
        </is>
      </c>
      <c r="B1906" s="1" t="n">
        <v>43510</v>
      </c>
      <c r="C1906" s="1" t="n">
        <v>45227</v>
      </c>
      <c r="D1906" t="inlineStr">
        <is>
          <t>VÄSTRA GÖTALANDS LÄN</t>
        </is>
      </c>
      <c r="E1906" t="inlineStr">
        <is>
          <t>LYSEKIL</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10124-2019</t>
        </is>
      </c>
      <c r="B1907" s="1" t="n">
        <v>43510</v>
      </c>
      <c r="C1907" s="1" t="n">
        <v>45227</v>
      </c>
      <c r="D1907" t="inlineStr">
        <is>
          <t>VÄSTRA GÖTALANDS LÄN</t>
        </is>
      </c>
      <c r="E1907" t="inlineStr">
        <is>
          <t>ULRICEHAMN</t>
        </is>
      </c>
      <c r="G1907" t="n">
        <v>7.7</v>
      </c>
      <c r="H1907" t="n">
        <v>0</v>
      </c>
      <c r="I1907" t="n">
        <v>0</v>
      </c>
      <c r="J1907" t="n">
        <v>0</v>
      </c>
      <c r="K1907" t="n">
        <v>0</v>
      </c>
      <c r="L1907" t="n">
        <v>0</v>
      </c>
      <c r="M1907" t="n">
        <v>0</v>
      </c>
      <c r="N1907" t="n">
        <v>0</v>
      </c>
      <c r="O1907" t="n">
        <v>0</v>
      </c>
      <c r="P1907" t="n">
        <v>0</v>
      </c>
      <c r="Q1907" t="n">
        <v>0</v>
      </c>
      <c r="R1907" s="2" t="inlineStr"/>
    </row>
    <row r="1908" ht="15" customHeight="1">
      <c r="A1908" t="inlineStr">
        <is>
          <t>A 10002-2019</t>
        </is>
      </c>
      <c r="B1908" s="1" t="n">
        <v>43510</v>
      </c>
      <c r="C1908" s="1" t="n">
        <v>45227</v>
      </c>
      <c r="D1908" t="inlineStr">
        <is>
          <t>VÄSTRA GÖTALANDS LÄN</t>
        </is>
      </c>
      <c r="E1908" t="inlineStr">
        <is>
          <t>SKÖVDE</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10045-2019</t>
        </is>
      </c>
      <c r="B1909" s="1" t="n">
        <v>43510</v>
      </c>
      <c r="C1909" s="1" t="n">
        <v>45227</v>
      </c>
      <c r="D1909" t="inlineStr">
        <is>
          <t>VÄSTRA GÖTALANDS LÄN</t>
        </is>
      </c>
      <c r="E1909" t="inlineStr">
        <is>
          <t>LYSEKIL</t>
        </is>
      </c>
      <c r="G1909" t="n">
        <v>4.1</v>
      </c>
      <c r="H1909" t="n">
        <v>0</v>
      </c>
      <c r="I1909" t="n">
        <v>0</v>
      </c>
      <c r="J1909" t="n">
        <v>0</v>
      </c>
      <c r="K1909" t="n">
        <v>0</v>
      </c>
      <c r="L1909" t="n">
        <v>0</v>
      </c>
      <c r="M1909" t="n">
        <v>0</v>
      </c>
      <c r="N1909" t="n">
        <v>0</v>
      </c>
      <c r="O1909" t="n">
        <v>0</v>
      </c>
      <c r="P1909" t="n">
        <v>0</v>
      </c>
      <c r="Q1909" t="n">
        <v>0</v>
      </c>
      <c r="R1909" s="2" t="inlineStr"/>
    </row>
    <row r="1910" ht="15" customHeight="1">
      <c r="A1910" t="inlineStr">
        <is>
          <t>A 10056-2019</t>
        </is>
      </c>
      <c r="B1910" s="1" t="n">
        <v>43510</v>
      </c>
      <c r="C1910" s="1" t="n">
        <v>45227</v>
      </c>
      <c r="D1910" t="inlineStr">
        <is>
          <t>VÄSTRA GÖTALANDS LÄN</t>
        </is>
      </c>
      <c r="E1910" t="inlineStr">
        <is>
          <t>MUNKEDAL</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10156-2019</t>
        </is>
      </c>
      <c r="B1911" s="1" t="n">
        <v>43510</v>
      </c>
      <c r="C1911" s="1" t="n">
        <v>45227</v>
      </c>
      <c r="D1911" t="inlineStr">
        <is>
          <t>VÄSTRA GÖTALANDS LÄN</t>
        </is>
      </c>
      <c r="E1911" t="inlineStr">
        <is>
          <t>ULRICEHAMN</t>
        </is>
      </c>
      <c r="G1911" t="n">
        <v>4.6</v>
      </c>
      <c r="H1911" t="n">
        <v>0</v>
      </c>
      <c r="I1911" t="n">
        <v>0</v>
      </c>
      <c r="J1911" t="n">
        <v>0</v>
      </c>
      <c r="K1911" t="n">
        <v>0</v>
      </c>
      <c r="L1911" t="n">
        <v>0</v>
      </c>
      <c r="M1911" t="n">
        <v>0</v>
      </c>
      <c r="N1911" t="n">
        <v>0</v>
      </c>
      <c r="O1911" t="n">
        <v>0</v>
      </c>
      <c r="P1911" t="n">
        <v>0</v>
      </c>
      <c r="Q1911" t="n">
        <v>0</v>
      </c>
      <c r="R1911" s="2" t="inlineStr"/>
    </row>
    <row r="1912" ht="15" customHeight="1">
      <c r="A1912" t="inlineStr">
        <is>
          <t>A 10166-2019</t>
        </is>
      </c>
      <c r="B1912" s="1" t="n">
        <v>43510</v>
      </c>
      <c r="C1912" s="1" t="n">
        <v>45227</v>
      </c>
      <c r="D1912" t="inlineStr">
        <is>
          <t>VÄSTRA GÖTALANDS LÄN</t>
        </is>
      </c>
      <c r="E1912" t="inlineStr">
        <is>
          <t>HERRLJUNGA</t>
        </is>
      </c>
      <c r="G1912" t="n">
        <v>3.6</v>
      </c>
      <c r="H1912" t="n">
        <v>0</v>
      </c>
      <c r="I1912" t="n">
        <v>0</v>
      </c>
      <c r="J1912" t="n">
        <v>0</v>
      </c>
      <c r="K1912" t="n">
        <v>0</v>
      </c>
      <c r="L1912" t="n">
        <v>0</v>
      </c>
      <c r="M1912" t="n">
        <v>0</v>
      </c>
      <c r="N1912" t="n">
        <v>0</v>
      </c>
      <c r="O1912" t="n">
        <v>0</v>
      </c>
      <c r="P1912" t="n">
        <v>0</v>
      </c>
      <c r="Q1912" t="n">
        <v>0</v>
      </c>
      <c r="R1912" s="2" t="inlineStr"/>
    </row>
    <row r="1913" ht="15" customHeight="1">
      <c r="A1913" t="inlineStr">
        <is>
          <t>A 10218-2019</t>
        </is>
      </c>
      <c r="B1913" s="1" t="n">
        <v>43510</v>
      </c>
      <c r="C1913" s="1" t="n">
        <v>45227</v>
      </c>
      <c r="D1913" t="inlineStr">
        <is>
          <t>VÄSTRA GÖTALANDS LÄN</t>
        </is>
      </c>
      <c r="E1913" t="inlineStr">
        <is>
          <t>SKARA</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10291-2019</t>
        </is>
      </c>
      <c r="B1914" s="1" t="n">
        <v>43511</v>
      </c>
      <c r="C1914" s="1" t="n">
        <v>45227</v>
      </c>
      <c r="D1914" t="inlineStr">
        <is>
          <t>VÄSTRA GÖTALANDS LÄN</t>
        </is>
      </c>
      <c r="E1914" t="inlineStr">
        <is>
          <t>ÅMÅL</t>
        </is>
      </c>
      <c r="G1914" t="n">
        <v>6.8</v>
      </c>
      <c r="H1914" t="n">
        <v>0</v>
      </c>
      <c r="I1914" t="n">
        <v>0</v>
      </c>
      <c r="J1914" t="n">
        <v>0</v>
      </c>
      <c r="K1914" t="n">
        <v>0</v>
      </c>
      <c r="L1914" t="n">
        <v>0</v>
      </c>
      <c r="M1914" t="n">
        <v>0</v>
      </c>
      <c r="N1914" t="n">
        <v>0</v>
      </c>
      <c r="O1914" t="n">
        <v>0</v>
      </c>
      <c r="P1914" t="n">
        <v>0</v>
      </c>
      <c r="Q1914" t="n">
        <v>0</v>
      </c>
      <c r="R1914" s="2" t="inlineStr"/>
    </row>
    <row r="1915" ht="15" customHeight="1">
      <c r="A1915" t="inlineStr">
        <is>
          <t>A 10303-2019</t>
        </is>
      </c>
      <c r="B1915" s="1" t="n">
        <v>43511</v>
      </c>
      <c r="C1915" s="1" t="n">
        <v>45227</v>
      </c>
      <c r="D1915" t="inlineStr">
        <is>
          <t>VÄSTRA GÖTALANDS LÄN</t>
        </is>
      </c>
      <c r="E1915" t="inlineStr">
        <is>
          <t>MARIESTAD</t>
        </is>
      </c>
      <c r="F1915" t="inlineStr">
        <is>
          <t>Sveaskog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10317-2019</t>
        </is>
      </c>
      <c r="B1916" s="1" t="n">
        <v>43511</v>
      </c>
      <c r="C1916" s="1" t="n">
        <v>45227</v>
      </c>
      <c r="D1916" t="inlineStr">
        <is>
          <t>VÄSTRA GÖTALANDS LÄN</t>
        </is>
      </c>
      <c r="E1916" t="inlineStr">
        <is>
          <t>SVENLJUNGA</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10410-2019</t>
        </is>
      </c>
      <c r="B1917" s="1" t="n">
        <v>43511</v>
      </c>
      <c r="C1917" s="1" t="n">
        <v>45227</v>
      </c>
      <c r="D1917" t="inlineStr">
        <is>
          <t>VÄSTRA GÖTALANDS LÄN</t>
        </is>
      </c>
      <c r="E1917" t="inlineStr">
        <is>
          <t>MELLERUD</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10299-2019</t>
        </is>
      </c>
      <c r="B1918" s="1" t="n">
        <v>43511</v>
      </c>
      <c r="C1918" s="1" t="n">
        <v>45227</v>
      </c>
      <c r="D1918" t="inlineStr">
        <is>
          <t>VÄSTRA GÖTALANDS LÄN</t>
        </is>
      </c>
      <c r="E1918" t="inlineStr">
        <is>
          <t>MARIESTAD</t>
        </is>
      </c>
      <c r="F1918" t="inlineStr">
        <is>
          <t>Sveaskog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10423-2019</t>
        </is>
      </c>
      <c r="B1919" s="1" t="n">
        <v>43511</v>
      </c>
      <c r="C1919" s="1" t="n">
        <v>45227</v>
      </c>
      <c r="D1919" t="inlineStr">
        <is>
          <t>VÄSTRA GÖTALANDS LÄN</t>
        </is>
      </c>
      <c r="E1919" t="inlineStr">
        <is>
          <t>MELLERUD</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10290-2019</t>
        </is>
      </c>
      <c r="B1920" s="1" t="n">
        <v>43511</v>
      </c>
      <c r="C1920" s="1" t="n">
        <v>45227</v>
      </c>
      <c r="D1920" t="inlineStr">
        <is>
          <t>VÄSTRA GÖTALANDS LÄN</t>
        </is>
      </c>
      <c r="E1920" t="inlineStr">
        <is>
          <t>FÄRGELANDA</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10362-2019</t>
        </is>
      </c>
      <c r="B1921" s="1" t="n">
        <v>43511</v>
      </c>
      <c r="C1921" s="1" t="n">
        <v>45227</v>
      </c>
      <c r="D1921" t="inlineStr">
        <is>
          <t>VÄSTRA GÖTALANDS LÄN</t>
        </is>
      </c>
      <c r="E1921" t="inlineStr">
        <is>
          <t>UDDEVALLA</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10474-2019</t>
        </is>
      </c>
      <c r="B1922" s="1" t="n">
        <v>43511</v>
      </c>
      <c r="C1922" s="1" t="n">
        <v>45227</v>
      </c>
      <c r="D1922" t="inlineStr">
        <is>
          <t>VÄSTRA GÖTALANDS LÄN</t>
        </is>
      </c>
      <c r="E1922" t="inlineStr">
        <is>
          <t>MARK</t>
        </is>
      </c>
      <c r="G1922" t="n">
        <v>2.4</v>
      </c>
      <c r="H1922" t="n">
        <v>0</v>
      </c>
      <c r="I1922" t="n">
        <v>0</v>
      </c>
      <c r="J1922" t="n">
        <v>0</v>
      </c>
      <c r="K1922" t="n">
        <v>0</v>
      </c>
      <c r="L1922" t="n">
        <v>0</v>
      </c>
      <c r="M1922" t="n">
        <v>0</v>
      </c>
      <c r="N1922" t="n">
        <v>0</v>
      </c>
      <c r="O1922" t="n">
        <v>0</v>
      </c>
      <c r="P1922" t="n">
        <v>0</v>
      </c>
      <c r="Q1922" t="n">
        <v>0</v>
      </c>
      <c r="R1922" s="2" t="inlineStr"/>
    </row>
    <row r="1923" ht="15" customHeight="1">
      <c r="A1923" t="inlineStr">
        <is>
          <t>A 10403-2019</t>
        </is>
      </c>
      <c r="B1923" s="1" t="n">
        <v>43511</v>
      </c>
      <c r="C1923" s="1" t="n">
        <v>45227</v>
      </c>
      <c r="D1923" t="inlineStr">
        <is>
          <t>VÄSTRA GÖTALANDS LÄN</t>
        </is>
      </c>
      <c r="E1923" t="inlineStr">
        <is>
          <t>TÖREBODA</t>
        </is>
      </c>
      <c r="F1923" t="inlineStr">
        <is>
          <t>Övriga statliga verk och myndigheter</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10473-2019</t>
        </is>
      </c>
      <c r="B1924" s="1" t="n">
        <v>43511</v>
      </c>
      <c r="C1924" s="1" t="n">
        <v>45227</v>
      </c>
      <c r="D1924" t="inlineStr">
        <is>
          <t>VÄSTRA GÖTALANDS LÄN</t>
        </is>
      </c>
      <c r="E1924" t="inlineStr">
        <is>
          <t>MARK</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10516-2019</t>
        </is>
      </c>
      <c r="B1925" s="1" t="n">
        <v>43514</v>
      </c>
      <c r="C1925" s="1" t="n">
        <v>45227</v>
      </c>
      <c r="D1925" t="inlineStr">
        <is>
          <t>VÄSTRA GÖTALANDS LÄN</t>
        </is>
      </c>
      <c r="E1925" t="inlineStr">
        <is>
          <t>MARIESTAD</t>
        </is>
      </c>
      <c r="F1925" t="inlineStr">
        <is>
          <t>Sveaskog</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10737-2019</t>
        </is>
      </c>
      <c r="B1926" s="1" t="n">
        <v>43514</v>
      </c>
      <c r="C1926" s="1" t="n">
        <v>45227</v>
      </c>
      <c r="D1926" t="inlineStr">
        <is>
          <t>VÄSTRA GÖTALANDS LÄN</t>
        </is>
      </c>
      <c r="E1926" t="inlineStr">
        <is>
          <t>SKARA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10827-2019</t>
        </is>
      </c>
      <c r="B1927" s="1" t="n">
        <v>43514</v>
      </c>
      <c r="C1927" s="1" t="n">
        <v>45227</v>
      </c>
      <c r="D1927" t="inlineStr">
        <is>
          <t>VÄSTRA GÖTALANDS LÄN</t>
        </is>
      </c>
      <c r="E1927" t="inlineStr">
        <is>
          <t>FALKÖPING</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10515-2019</t>
        </is>
      </c>
      <c r="B1928" s="1" t="n">
        <v>43514</v>
      </c>
      <c r="C1928" s="1" t="n">
        <v>45227</v>
      </c>
      <c r="D1928" t="inlineStr">
        <is>
          <t>VÄSTRA GÖTALANDS LÄN</t>
        </is>
      </c>
      <c r="E1928" t="inlineStr">
        <is>
          <t>MARIESTAD</t>
        </is>
      </c>
      <c r="F1928" t="inlineStr">
        <is>
          <t>Sveaskog</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10650-2019</t>
        </is>
      </c>
      <c r="B1929" s="1" t="n">
        <v>43514</v>
      </c>
      <c r="C1929" s="1" t="n">
        <v>45227</v>
      </c>
      <c r="D1929" t="inlineStr">
        <is>
          <t>VÄSTRA GÖTALANDS LÄN</t>
        </is>
      </c>
      <c r="E1929" t="inlineStr">
        <is>
          <t>MELLERUD</t>
        </is>
      </c>
      <c r="G1929" t="n">
        <v>2</v>
      </c>
      <c r="H1929" t="n">
        <v>0</v>
      </c>
      <c r="I1929" t="n">
        <v>0</v>
      </c>
      <c r="J1929" t="n">
        <v>0</v>
      </c>
      <c r="K1929" t="n">
        <v>0</v>
      </c>
      <c r="L1929" t="n">
        <v>0</v>
      </c>
      <c r="M1929" t="n">
        <v>0</v>
      </c>
      <c r="N1929" t="n">
        <v>0</v>
      </c>
      <c r="O1929" t="n">
        <v>0</v>
      </c>
      <c r="P1929" t="n">
        <v>0</v>
      </c>
      <c r="Q1929" t="n">
        <v>0</v>
      </c>
      <c r="R1929" s="2" t="inlineStr"/>
    </row>
    <row r="1930" ht="15" customHeight="1">
      <c r="A1930" t="inlineStr">
        <is>
          <t>A 10725-2019</t>
        </is>
      </c>
      <c r="B1930" s="1" t="n">
        <v>43514</v>
      </c>
      <c r="C1930" s="1" t="n">
        <v>45227</v>
      </c>
      <c r="D1930" t="inlineStr">
        <is>
          <t>VÄSTRA GÖTALANDS LÄN</t>
        </is>
      </c>
      <c r="E1930" t="inlineStr">
        <is>
          <t>TROLLHÄTTAN</t>
        </is>
      </c>
      <c r="F1930" t="inlineStr">
        <is>
          <t>Kommuner</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10736-2019</t>
        </is>
      </c>
      <c r="B1931" s="1" t="n">
        <v>43514</v>
      </c>
      <c r="C1931" s="1" t="n">
        <v>45227</v>
      </c>
      <c r="D1931" t="inlineStr">
        <is>
          <t>VÄSTRA GÖTALANDS LÄN</t>
        </is>
      </c>
      <c r="E1931" t="inlineStr">
        <is>
          <t>TROLLHÄTTAN</t>
        </is>
      </c>
      <c r="F1931" t="inlineStr">
        <is>
          <t>Kommuner</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10882-2019</t>
        </is>
      </c>
      <c r="B1932" s="1" t="n">
        <v>43515</v>
      </c>
      <c r="C1932" s="1" t="n">
        <v>45227</v>
      </c>
      <c r="D1932" t="inlineStr">
        <is>
          <t>VÄSTRA GÖTALANDS LÄN</t>
        </is>
      </c>
      <c r="E1932" t="inlineStr">
        <is>
          <t>BORÅS</t>
        </is>
      </c>
      <c r="G1932" t="n">
        <v>5.4</v>
      </c>
      <c r="H1932" t="n">
        <v>0</v>
      </c>
      <c r="I1932" t="n">
        <v>0</v>
      </c>
      <c r="J1932" t="n">
        <v>0</v>
      </c>
      <c r="K1932" t="n">
        <v>0</v>
      </c>
      <c r="L1932" t="n">
        <v>0</v>
      </c>
      <c r="M1932" t="n">
        <v>0</v>
      </c>
      <c r="N1932" t="n">
        <v>0</v>
      </c>
      <c r="O1932" t="n">
        <v>0</v>
      </c>
      <c r="P1932" t="n">
        <v>0</v>
      </c>
      <c r="Q1932" t="n">
        <v>0</v>
      </c>
      <c r="R1932" s="2" t="inlineStr"/>
    </row>
    <row r="1933" ht="15" customHeight="1">
      <c r="A1933" t="inlineStr">
        <is>
          <t>A 10891-2019</t>
        </is>
      </c>
      <c r="B1933" s="1" t="n">
        <v>43515</v>
      </c>
      <c r="C1933" s="1" t="n">
        <v>45227</v>
      </c>
      <c r="D1933" t="inlineStr">
        <is>
          <t>VÄSTRA GÖTALANDS LÄN</t>
        </is>
      </c>
      <c r="E1933" t="inlineStr">
        <is>
          <t>BORÅS</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10888-2019</t>
        </is>
      </c>
      <c r="B1934" s="1" t="n">
        <v>43515</v>
      </c>
      <c r="C1934" s="1" t="n">
        <v>45227</v>
      </c>
      <c r="D1934" t="inlineStr">
        <is>
          <t>VÄSTRA GÖTALANDS LÄN</t>
        </is>
      </c>
      <c r="E1934" t="inlineStr">
        <is>
          <t>MARK</t>
        </is>
      </c>
      <c r="F1934" t="inlineStr">
        <is>
          <t>Sveaskog</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11025-2019</t>
        </is>
      </c>
      <c r="B1935" s="1" t="n">
        <v>43515</v>
      </c>
      <c r="C1935" s="1" t="n">
        <v>45227</v>
      </c>
      <c r="D1935" t="inlineStr">
        <is>
          <t>VÄSTRA GÖTALANDS LÄN</t>
        </is>
      </c>
      <c r="E1935" t="inlineStr">
        <is>
          <t>HERRLJUNGA</t>
        </is>
      </c>
      <c r="F1935" t="inlineStr">
        <is>
          <t>Sveaskog</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11035-2019</t>
        </is>
      </c>
      <c r="B1936" s="1" t="n">
        <v>43515</v>
      </c>
      <c r="C1936" s="1" t="n">
        <v>45227</v>
      </c>
      <c r="D1936" t="inlineStr">
        <is>
          <t>VÄSTRA GÖTALANDS LÄN</t>
        </is>
      </c>
      <c r="E1936" t="inlineStr">
        <is>
          <t>BORÅS</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10879-2019</t>
        </is>
      </c>
      <c r="B1937" s="1" t="n">
        <v>43515</v>
      </c>
      <c r="C1937" s="1" t="n">
        <v>45227</v>
      </c>
      <c r="D1937" t="inlineStr">
        <is>
          <t>VÄSTRA GÖTALANDS LÄN</t>
        </is>
      </c>
      <c r="E1937" t="inlineStr">
        <is>
          <t>MARK</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10889-2019</t>
        </is>
      </c>
      <c r="B1938" s="1" t="n">
        <v>43515</v>
      </c>
      <c r="C1938" s="1" t="n">
        <v>45227</v>
      </c>
      <c r="D1938" t="inlineStr">
        <is>
          <t>VÄSTRA GÖTALANDS LÄN</t>
        </is>
      </c>
      <c r="E1938" t="inlineStr">
        <is>
          <t>MARK</t>
        </is>
      </c>
      <c r="F1938" t="inlineStr">
        <is>
          <t>Sveaskog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10929-2019</t>
        </is>
      </c>
      <c r="B1939" s="1" t="n">
        <v>43515</v>
      </c>
      <c r="C1939" s="1" t="n">
        <v>45227</v>
      </c>
      <c r="D1939" t="inlineStr">
        <is>
          <t>VÄSTRA GÖTALANDS LÄN</t>
        </is>
      </c>
      <c r="E1939" t="inlineStr">
        <is>
          <t>TRANEMO</t>
        </is>
      </c>
      <c r="F1939" t="inlineStr">
        <is>
          <t>Sveaskog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10950-2019</t>
        </is>
      </c>
      <c r="B1940" s="1" t="n">
        <v>43515</v>
      </c>
      <c r="C1940" s="1" t="n">
        <v>45227</v>
      </c>
      <c r="D1940" t="inlineStr">
        <is>
          <t>VÄSTRA GÖTALANDS LÄN</t>
        </is>
      </c>
      <c r="E1940" t="inlineStr">
        <is>
          <t>GÖTENE</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11012-2019</t>
        </is>
      </c>
      <c r="B1941" s="1" t="n">
        <v>43515</v>
      </c>
      <c r="C1941" s="1" t="n">
        <v>45227</v>
      </c>
      <c r="D1941" t="inlineStr">
        <is>
          <t>VÄSTRA GÖTALANDS LÄN</t>
        </is>
      </c>
      <c r="E1941" t="inlineStr">
        <is>
          <t>MARK</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11208-2019</t>
        </is>
      </c>
      <c r="B1942" s="1" t="n">
        <v>43516</v>
      </c>
      <c r="C1942" s="1" t="n">
        <v>45227</v>
      </c>
      <c r="D1942" t="inlineStr">
        <is>
          <t>VÄSTRA GÖTALANDS LÄN</t>
        </is>
      </c>
      <c r="E1942" t="inlineStr">
        <is>
          <t>DALS-ED</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11222-2019</t>
        </is>
      </c>
      <c r="B1943" s="1" t="n">
        <v>43516</v>
      </c>
      <c r="C1943" s="1" t="n">
        <v>45227</v>
      </c>
      <c r="D1943" t="inlineStr">
        <is>
          <t>VÄSTRA GÖTALANDS LÄN</t>
        </is>
      </c>
      <c r="E1943" t="inlineStr">
        <is>
          <t>SKARA</t>
        </is>
      </c>
      <c r="G1943" t="n">
        <v>6.7</v>
      </c>
      <c r="H1943" t="n">
        <v>0</v>
      </c>
      <c r="I1943" t="n">
        <v>0</v>
      </c>
      <c r="J1943" t="n">
        <v>0</v>
      </c>
      <c r="K1943" t="n">
        <v>0</v>
      </c>
      <c r="L1943" t="n">
        <v>0</v>
      </c>
      <c r="M1943" t="n">
        <v>0</v>
      </c>
      <c r="N1943" t="n">
        <v>0</v>
      </c>
      <c r="O1943" t="n">
        <v>0</v>
      </c>
      <c r="P1943" t="n">
        <v>0</v>
      </c>
      <c r="Q1943" t="n">
        <v>0</v>
      </c>
      <c r="R1943" s="2" t="inlineStr"/>
    </row>
    <row r="1944" ht="15" customHeight="1">
      <c r="A1944" t="inlineStr">
        <is>
          <t>A 11134-2019</t>
        </is>
      </c>
      <c r="B1944" s="1" t="n">
        <v>43516</v>
      </c>
      <c r="C1944" s="1" t="n">
        <v>45227</v>
      </c>
      <c r="D1944" t="inlineStr">
        <is>
          <t>VÄSTRA GÖTALANDS LÄN</t>
        </is>
      </c>
      <c r="E1944" t="inlineStr">
        <is>
          <t>MUNKEDAL</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11145-2019</t>
        </is>
      </c>
      <c r="B1945" s="1" t="n">
        <v>43516</v>
      </c>
      <c r="C1945" s="1" t="n">
        <v>45227</v>
      </c>
      <c r="D1945" t="inlineStr">
        <is>
          <t>VÄSTRA GÖTALANDS LÄN</t>
        </is>
      </c>
      <c r="E1945" t="inlineStr">
        <is>
          <t>FÄRGELANDA</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11292-2019</t>
        </is>
      </c>
      <c r="B1946" s="1" t="n">
        <v>43516</v>
      </c>
      <c r="C1946" s="1" t="n">
        <v>45227</v>
      </c>
      <c r="D1946" t="inlineStr">
        <is>
          <t>VÄSTRA GÖTALANDS LÄN</t>
        </is>
      </c>
      <c r="E1946" t="inlineStr">
        <is>
          <t>VARA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11296-2019</t>
        </is>
      </c>
      <c r="B1947" s="1" t="n">
        <v>43516</v>
      </c>
      <c r="C1947" s="1" t="n">
        <v>45227</v>
      </c>
      <c r="D1947" t="inlineStr">
        <is>
          <t>VÄSTRA GÖTALANDS LÄN</t>
        </is>
      </c>
      <c r="E1947" t="inlineStr">
        <is>
          <t>SKARA</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11185-2019</t>
        </is>
      </c>
      <c r="B1948" s="1" t="n">
        <v>43516</v>
      </c>
      <c r="C1948" s="1" t="n">
        <v>45227</v>
      </c>
      <c r="D1948" t="inlineStr">
        <is>
          <t>VÄSTRA GÖTALANDS LÄN</t>
        </is>
      </c>
      <c r="E1948" t="inlineStr">
        <is>
          <t>KARLSBORG</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11311-2019</t>
        </is>
      </c>
      <c r="B1949" s="1" t="n">
        <v>43517</v>
      </c>
      <c r="C1949" s="1" t="n">
        <v>45227</v>
      </c>
      <c r="D1949" t="inlineStr">
        <is>
          <t>VÄSTRA GÖTALANDS LÄN</t>
        </is>
      </c>
      <c r="E1949" t="inlineStr">
        <is>
          <t>VÄNERSBORG</t>
        </is>
      </c>
      <c r="G1949" t="n">
        <v>4.2</v>
      </c>
      <c r="H1949" t="n">
        <v>0</v>
      </c>
      <c r="I1949" t="n">
        <v>0</v>
      </c>
      <c r="J1949" t="n">
        <v>0</v>
      </c>
      <c r="K1949" t="n">
        <v>0</v>
      </c>
      <c r="L1949" t="n">
        <v>0</v>
      </c>
      <c r="M1949" t="n">
        <v>0</v>
      </c>
      <c r="N1949" t="n">
        <v>0</v>
      </c>
      <c r="O1949" t="n">
        <v>0</v>
      </c>
      <c r="P1949" t="n">
        <v>0</v>
      </c>
      <c r="Q1949" t="n">
        <v>0</v>
      </c>
      <c r="R1949" s="2" t="inlineStr"/>
    </row>
    <row r="1950" ht="15" customHeight="1">
      <c r="A1950" t="inlineStr">
        <is>
          <t>A 11358-2019</t>
        </is>
      </c>
      <c r="B1950" s="1" t="n">
        <v>43517</v>
      </c>
      <c r="C1950" s="1" t="n">
        <v>45227</v>
      </c>
      <c r="D1950" t="inlineStr">
        <is>
          <t>VÄSTRA GÖTALANDS LÄN</t>
        </is>
      </c>
      <c r="E1950" t="inlineStr">
        <is>
          <t>UDDEVALLA</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11390-2019</t>
        </is>
      </c>
      <c r="B1951" s="1" t="n">
        <v>43517</v>
      </c>
      <c r="C1951" s="1" t="n">
        <v>45227</v>
      </c>
      <c r="D1951" t="inlineStr">
        <is>
          <t>VÄSTRA GÖTALANDS LÄN</t>
        </is>
      </c>
      <c r="E1951" t="inlineStr">
        <is>
          <t>MARIESTAD</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11432-2019</t>
        </is>
      </c>
      <c r="B1952" s="1" t="n">
        <v>43517</v>
      </c>
      <c r="C1952" s="1" t="n">
        <v>45227</v>
      </c>
      <c r="D1952" t="inlineStr">
        <is>
          <t>VÄSTRA GÖTALANDS LÄN</t>
        </is>
      </c>
      <c r="E1952" t="inlineStr">
        <is>
          <t>BENGTSFORS</t>
        </is>
      </c>
      <c r="G1952" t="n">
        <v>3.6</v>
      </c>
      <c r="H1952" t="n">
        <v>0</v>
      </c>
      <c r="I1952" t="n">
        <v>0</v>
      </c>
      <c r="J1952" t="n">
        <v>0</v>
      </c>
      <c r="K1952" t="n">
        <v>0</v>
      </c>
      <c r="L1952" t="n">
        <v>0</v>
      </c>
      <c r="M1952" t="n">
        <v>0</v>
      </c>
      <c r="N1952" t="n">
        <v>0</v>
      </c>
      <c r="O1952" t="n">
        <v>0</v>
      </c>
      <c r="P1952" t="n">
        <v>0</v>
      </c>
      <c r="Q1952" t="n">
        <v>0</v>
      </c>
      <c r="R1952" s="2" t="inlineStr"/>
    </row>
    <row r="1953" ht="15" customHeight="1">
      <c r="A1953" t="inlineStr">
        <is>
          <t>A 11517-2019</t>
        </is>
      </c>
      <c r="B1953" s="1" t="n">
        <v>43517</v>
      </c>
      <c r="C1953" s="1" t="n">
        <v>45227</v>
      </c>
      <c r="D1953" t="inlineStr">
        <is>
          <t>VÄSTRA GÖTALANDS LÄN</t>
        </is>
      </c>
      <c r="E1953" t="inlineStr">
        <is>
          <t>ÅMÅL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11523-2019</t>
        </is>
      </c>
      <c r="B1954" s="1" t="n">
        <v>43517</v>
      </c>
      <c r="C1954" s="1" t="n">
        <v>45227</v>
      </c>
      <c r="D1954" t="inlineStr">
        <is>
          <t>VÄSTRA GÖTALANDS LÄN</t>
        </is>
      </c>
      <c r="E1954" t="inlineStr">
        <is>
          <t>TÖREBODA</t>
        </is>
      </c>
      <c r="G1954" t="n">
        <v>4.6</v>
      </c>
      <c r="H1954" t="n">
        <v>0</v>
      </c>
      <c r="I1954" t="n">
        <v>0</v>
      </c>
      <c r="J1954" t="n">
        <v>0</v>
      </c>
      <c r="K1954" t="n">
        <v>0</v>
      </c>
      <c r="L1954" t="n">
        <v>0</v>
      </c>
      <c r="M1954" t="n">
        <v>0</v>
      </c>
      <c r="N1954" t="n">
        <v>0</v>
      </c>
      <c r="O1954" t="n">
        <v>0</v>
      </c>
      <c r="P1954" t="n">
        <v>0</v>
      </c>
      <c r="Q1954" t="n">
        <v>0</v>
      </c>
      <c r="R1954" s="2" t="inlineStr"/>
    </row>
    <row r="1955" ht="15" customHeight="1">
      <c r="A1955" t="inlineStr">
        <is>
          <t>A 11531-2019</t>
        </is>
      </c>
      <c r="B1955" s="1" t="n">
        <v>43517</v>
      </c>
      <c r="C1955" s="1" t="n">
        <v>45227</v>
      </c>
      <c r="D1955" t="inlineStr">
        <is>
          <t>VÄSTRA GÖTALANDS LÄN</t>
        </is>
      </c>
      <c r="E1955" t="inlineStr">
        <is>
          <t>MARIESTAD</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11317-2019</t>
        </is>
      </c>
      <c r="B1956" s="1" t="n">
        <v>43517</v>
      </c>
      <c r="C1956" s="1" t="n">
        <v>45227</v>
      </c>
      <c r="D1956" t="inlineStr">
        <is>
          <t>VÄSTRA GÖTALANDS LÄN</t>
        </is>
      </c>
      <c r="E1956" t="inlineStr">
        <is>
          <t>MELLERUD</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11509-2019</t>
        </is>
      </c>
      <c r="B1957" s="1" t="n">
        <v>43517</v>
      </c>
      <c r="C1957" s="1" t="n">
        <v>45227</v>
      </c>
      <c r="D1957" t="inlineStr">
        <is>
          <t>VÄSTRA GÖTALANDS LÄN</t>
        </is>
      </c>
      <c r="E1957" t="inlineStr">
        <is>
          <t>SKARA</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11524-2019</t>
        </is>
      </c>
      <c r="B1958" s="1" t="n">
        <v>43517</v>
      </c>
      <c r="C1958" s="1" t="n">
        <v>45227</v>
      </c>
      <c r="D1958" t="inlineStr">
        <is>
          <t>VÄSTRA GÖTALANDS LÄN</t>
        </is>
      </c>
      <c r="E1958" t="inlineStr">
        <is>
          <t>TÖREBODA</t>
        </is>
      </c>
      <c r="G1958" t="n">
        <v>4.5</v>
      </c>
      <c r="H1958" t="n">
        <v>0</v>
      </c>
      <c r="I1958" t="n">
        <v>0</v>
      </c>
      <c r="J1958" t="n">
        <v>0</v>
      </c>
      <c r="K1958" t="n">
        <v>0</v>
      </c>
      <c r="L1958" t="n">
        <v>0</v>
      </c>
      <c r="M1958" t="n">
        <v>0</v>
      </c>
      <c r="N1958" t="n">
        <v>0</v>
      </c>
      <c r="O1958" t="n">
        <v>0</v>
      </c>
      <c r="P1958" t="n">
        <v>0</v>
      </c>
      <c r="Q1958" t="n">
        <v>0</v>
      </c>
      <c r="R1958" s="2" t="inlineStr"/>
    </row>
    <row r="1959" ht="15" customHeight="1">
      <c r="A1959" t="inlineStr">
        <is>
          <t>A 11355-2019</t>
        </is>
      </c>
      <c r="B1959" s="1" t="n">
        <v>43517</v>
      </c>
      <c r="C1959" s="1" t="n">
        <v>45227</v>
      </c>
      <c r="D1959" t="inlineStr">
        <is>
          <t>VÄSTRA GÖTALANDS LÄN</t>
        </is>
      </c>
      <c r="E1959" t="inlineStr">
        <is>
          <t>MELLERUD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11360-2019</t>
        </is>
      </c>
      <c r="B1960" s="1" t="n">
        <v>43517</v>
      </c>
      <c r="C1960" s="1" t="n">
        <v>45227</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11422-2019</t>
        </is>
      </c>
      <c r="B1961" s="1" t="n">
        <v>43517</v>
      </c>
      <c r="C1961" s="1" t="n">
        <v>45227</v>
      </c>
      <c r="D1961" t="inlineStr">
        <is>
          <t>VÄSTRA GÖTALANDS LÄN</t>
        </is>
      </c>
      <c r="E1961" t="inlineStr">
        <is>
          <t>UDDEVALLA</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11514-2019</t>
        </is>
      </c>
      <c r="B1962" s="1" t="n">
        <v>43517</v>
      </c>
      <c r="C1962" s="1" t="n">
        <v>45227</v>
      </c>
      <c r="D1962" t="inlineStr">
        <is>
          <t>VÄSTRA GÖTALANDS LÄN</t>
        </is>
      </c>
      <c r="E1962" t="inlineStr">
        <is>
          <t>SKÖVDE</t>
        </is>
      </c>
      <c r="G1962" t="n">
        <v>2.1</v>
      </c>
      <c r="H1962" t="n">
        <v>0</v>
      </c>
      <c r="I1962" t="n">
        <v>0</v>
      </c>
      <c r="J1962" t="n">
        <v>0</v>
      </c>
      <c r="K1962" t="n">
        <v>0</v>
      </c>
      <c r="L1962" t="n">
        <v>0</v>
      </c>
      <c r="M1962" t="n">
        <v>0</v>
      </c>
      <c r="N1962" t="n">
        <v>0</v>
      </c>
      <c r="O1962" t="n">
        <v>0</v>
      </c>
      <c r="P1962" t="n">
        <v>0</v>
      </c>
      <c r="Q1962" t="n">
        <v>0</v>
      </c>
      <c r="R1962" s="2" t="inlineStr"/>
    </row>
    <row r="1963" ht="15" customHeight="1">
      <c r="A1963" t="inlineStr">
        <is>
          <t>A 11528-2019</t>
        </is>
      </c>
      <c r="B1963" s="1" t="n">
        <v>43517</v>
      </c>
      <c r="C1963" s="1" t="n">
        <v>45227</v>
      </c>
      <c r="D1963" t="inlineStr">
        <is>
          <t>VÄSTRA GÖTALANDS LÄN</t>
        </is>
      </c>
      <c r="E1963" t="inlineStr">
        <is>
          <t>KARLSBORG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11587-2019</t>
        </is>
      </c>
      <c r="B1964" s="1" t="n">
        <v>43517</v>
      </c>
      <c r="C1964" s="1" t="n">
        <v>45227</v>
      </c>
      <c r="D1964" t="inlineStr">
        <is>
          <t>VÄSTRA GÖTALANDS LÄN</t>
        </is>
      </c>
      <c r="E1964" t="inlineStr">
        <is>
          <t>ÅMÅL</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11340-2019</t>
        </is>
      </c>
      <c r="B1965" s="1" t="n">
        <v>43517</v>
      </c>
      <c r="C1965" s="1" t="n">
        <v>45227</v>
      </c>
      <c r="D1965" t="inlineStr">
        <is>
          <t>VÄSTRA GÖTALANDS LÄN</t>
        </is>
      </c>
      <c r="E1965" t="inlineStr">
        <is>
          <t>HJO</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11516-2019</t>
        </is>
      </c>
      <c r="B1966" s="1" t="n">
        <v>43517</v>
      </c>
      <c r="C1966" s="1" t="n">
        <v>45227</v>
      </c>
      <c r="D1966" t="inlineStr">
        <is>
          <t>VÄSTRA GÖTALANDS LÄN</t>
        </is>
      </c>
      <c r="E1966" t="inlineStr">
        <is>
          <t>MELLERUD</t>
        </is>
      </c>
      <c r="G1966" t="n">
        <v>3.2</v>
      </c>
      <c r="H1966" t="n">
        <v>0</v>
      </c>
      <c r="I1966" t="n">
        <v>0</v>
      </c>
      <c r="J1966" t="n">
        <v>0</v>
      </c>
      <c r="K1966" t="n">
        <v>0</v>
      </c>
      <c r="L1966" t="n">
        <v>0</v>
      </c>
      <c r="M1966" t="n">
        <v>0</v>
      </c>
      <c r="N1966" t="n">
        <v>0</v>
      </c>
      <c r="O1966" t="n">
        <v>0</v>
      </c>
      <c r="P1966" t="n">
        <v>0</v>
      </c>
      <c r="Q1966" t="n">
        <v>0</v>
      </c>
      <c r="R1966" s="2" t="inlineStr"/>
    </row>
    <row r="1967" ht="15" customHeight="1">
      <c r="A1967" t="inlineStr">
        <is>
          <t>A 11559-2019</t>
        </is>
      </c>
      <c r="B1967" s="1" t="n">
        <v>43517</v>
      </c>
      <c r="C1967" s="1" t="n">
        <v>45227</v>
      </c>
      <c r="D1967" t="inlineStr">
        <is>
          <t>VÄSTRA GÖTALANDS LÄN</t>
        </is>
      </c>
      <c r="E1967" t="inlineStr">
        <is>
          <t>LIDKÖPING</t>
        </is>
      </c>
      <c r="F1967" t="inlineStr">
        <is>
          <t>Kommuner</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11597-2019</t>
        </is>
      </c>
      <c r="B1968" s="1" t="n">
        <v>43517</v>
      </c>
      <c r="C1968" s="1" t="n">
        <v>45227</v>
      </c>
      <c r="D1968" t="inlineStr">
        <is>
          <t>VÄSTRA GÖTALANDS LÄN</t>
        </is>
      </c>
      <c r="E1968" t="inlineStr">
        <is>
          <t>TÖREBODA</t>
        </is>
      </c>
      <c r="G1968" t="n">
        <v>2.2</v>
      </c>
      <c r="H1968" t="n">
        <v>0</v>
      </c>
      <c r="I1968" t="n">
        <v>0</v>
      </c>
      <c r="J1968" t="n">
        <v>0</v>
      </c>
      <c r="K1968" t="n">
        <v>0</v>
      </c>
      <c r="L1968" t="n">
        <v>0</v>
      </c>
      <c r="M1968" t="n">
        <v>0</v>
      </c>
      <c r="N1968" t="n">
        <v>0</v>
      </c>
      <c r="O1968" t="n">
        <v>0</v>
      </c>
      <c r="P1968" t="n">
        <v>0</v>
      </c>
      <c r="Q1968" t="n">
        <v>0</v>
      </c>
      <c r="R1968" s="2" t="inlineStr"/>
    </row>
    <row r="1969" ht="15" customHeight="1">
      <c r="A1969" t="inlineStr">
        <is>
          <t>A 11676-2019</t>
        </is>
      </c>
      <c r="B1969" s="1" t="n">
        <v>43518</v>
      </c>
      <c r="C1969" s="1" t="n">
        <v>45227</v>
      </c>
      <c r="D1969" t="inlineStr">
        <is>
          <t>VÄSTRA GÖTALANDS LÄN</t>
        </is>
      </c>
      <c r="E1969" t="inlineStr">
        <is>
          <t>MARK</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11552-2019</t>
        </is>
      </c>
      <c r="B1970" s="1" t="n">
        <v>43518</v>
      </c>
      <c r="C1970" s="1" t="n">
        <v>45227</v>
      </c>
      <c r="D1970" t="inlineStr">
        <is>
          <t>VÄSTRA GÖTALANDS LÄN</t>
        </is>
      </c>
      <c r="E1970" t="inlineStr">
        <is>
          <t>FALKÖPING</t>
        </is>
      </c>
      <c r="G1970" t="n">
        <v>7.7</v>
      </c>
      <c r="H1970" t="n">
        <v>0</v>
      </c>
      <c r="I1970" t="n">
        <v>0</v>
      </c>
      <c r="J1970" t="n">
        <v>0</v>
      </c>
      <c r="K1970" t="n">
        <v>0</v>
      </c>
      <c r="L1970" t="n">
        <v>0</v>
      </c>
      <c r="M1970" t="n">
        <v>0</v>
      </c>
      <c r="N1970" t="n">
        <v>0</v>
      </c>
      <c r="O1970" t="n">
        <v>0</v>
      </c>
      <c r="P1970" t="n">
        <v>0</v>
      </c>
      <c r="Q1970" t="n">
        <v>0</v>
      </c>
      <c r="R1970" s="2" t="inlineStr"/>
    </row>
    <row r="1971" ht="15" customHeight="1">
      <c r="A1971" t="inlineStr">
        <is>
          <t>A 11667-2019</t>
        </is>
      </c>
      <c r="B1971" s="1" t="n">
        <v>43518</v>
      </c>
      <c r="C1971" s="1" t="n">
        <v>45227</v>
      </c>
      <c r="D1971" t="inlineStr">
        <is>
          <t>VÄSTRA GÖTALANDS LÄN</t>
        </is>
      </c>
      <c r="E1971" t="inlineStr">
        <is>
          <t>MUNKEDAL</t>
        </is>
      </c>
      <c r="G1971" t="n">
        <v>3.3</v>
      </c>
      <c r="H1971" t="n">
        <v>0</v>
      </c>
      <c r="I1971" t="n">
        <v>0</v>
      </c>
      <c r="J1971" t="n">
        <v>0</v>
      </c>
      <c r="K1971" t="n">
        <v>0</v>
      </c>
      <c r="L1971" t="n">
        <v>0</v>
      </c>
      <c r="M1971" t="n">
        <v>0</v>
      </c>
      <c r="N1971" t="n">
        <v>0</v>
      </c>
      <c r="O1971" t="n">
        <v>0</v>
      </c>
      <c r="P1971" t="n">
        <v>0</v>
      </c>
      <c r="Q1971" t="n">
        <v>0</v>
      </c>
      <c r="R1971" s="2" t="inlineStr"/>
    </row>
    <row r="1972" ht="15" customHeight="1">
      <c r="A1972" t="inlineStr">
        <is>
          <t>A 11680-2019</t>
        </is>
      </c>
      <c r="B1972" s="1" t="n">
        <v>43518</v>
      </c>
      <c r="C1972" s="1" t="n">
        <v>45227</v>
      </c>
      <c r="D1972" t="inlineStr">
        <is>
          <t>VÄSTRA GÖTALANDS LÄN</t>
        </is>
      </c>
      <c r="E1972" t="inlineStr">
        <is>
          <t>MARK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11558-2019</t>
        </is>
      </c>
      <c r="B1973" s="1" t="n">
        <v>43518</v>
      </c>
      <c r="C1973" s="1" t="n">
        <v>45227</v>
      </c>
      <c r="D1973" t="inlineStr">
        <is>
          <t>VÄSTRA GÖTALANDS LÄN</t>
        </is>
      </c>
      <c r="E1973" t="inlineStr">
        <is>
          <t>VARA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11598-2019</t>
        </is>
      </c>
      <c r="B1974" s="1" t="n">
        <v>43518</v>
      </c>
      <c r="C1974" s="1" t="n">
        <v>45227</v>
      </c>
      <c r="D1974" t="inlineStr">
        <is>
          <t>VÄSTRA GÖTALANDS LÄN</t>
        </is>
      </c>
      <c r="E1974" t="inlineStr">
        <is>
          <t>ALINGSÅS</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11683-2019</t>
        </is>
      </c>
      <c r="B1975" s="1" t="n">
        <v>43518</v>
      </c>
      <c r="C1975" s="1" t="n">
        <v>45227</v>
      </c>
      <c r="D1975" t="inlineStr">
        <is>
          <t>VÄSTRA GÖTALANDS LÄN</t>
        </is>
      </c>
      <c r="E1975" t="inlineStr">
        <is>
          <t>TJÖRN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11569-2019</t>
        </is>
      </c>
      <c r="B1976" s="1" t="n">
        <v>43518</v>
      </c>
      <c r="C1976" s="1" t="n">
        <v>45227</v>
      </c>
      <c r="D1976" t="inlineStr">
        <is>
          <t>VÄSTRA GÖTALANDS LÄN</t>
        </is>
      </c>
      <c r="E1976" t="inlineStr">
        <is>
          <t>VARA</t>
        </is>
      </c>
      <c r="G1976" t="n">
        <v>9.5</v>
      </c>
      <c r="H1976" t="n">
        <v>0</v>
      </c>
      <c r="I1976" t="n">
        <v>0</v>
      </c>
      <c r="J1976" t="n">
        <v>0</v>
      </c>
      <c r="K1976" t="n">
        <v>0</v>
      </c>
      <c r="L1976" t="n">
        <v>0</v>
      </c>
      <c r="M1976" t="n">
        <v>0</v>
      </c>
      <c r="N1976" t="n">
        <v>0</v>
      </c>
      <c r="O1976" t="n">
        <v>0</v>
      </c>
      <c r="P1976" t="n">
        <v>0</v>
      </c>
      <c r="Q1976" t="n">
        <v>0</v>
      </c>
      <c r="R1976" s="2" t="inlineStr"/>
    </row>
    <row r="1977" ht="15" customHeight="1">
      <c r="A1977" t="inlineStr">
        <is>
          <t>A 11678-2019</t>
        </is>
      </c>
      <c r="B1977" s="1" t="n">
        <v>43518</v>
      </c>
      <c r="C1977" s="1" t="n">
        <v>45227</v>
      </c>
      <c r="D1977" t="inlineStr">
        <is>
          <t>VÄSTRA GÖTALANDS LÄN</t>
        </is>
      </c>
      <c r="E1977" t="inlineStr">
        <is>
          <t>MARK</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11832-2019</t>
        </is>
      </c>
      <c r="B1978" s="1" t="n">
        <v>43519</v>
      </c>
      <c r="C1978" s="1" t="n">
        <v>45227</v>
      </c>
      <c r="D1978" t="inlineStr">
        <is>
          <t>VÄSTRA GÖTALANDS LÄN</t>
        </is>
      </c>
      <c r="E1978" t="inlineStr">
        <is>
          <t>TANUM</t>
        </is>
      </c>
      <c r="G1978" t="n">
        <v>7.7</v>
      </c>
      <c r="H1978" t="n">
        <v>0</v>
      </c>
      <c r="I1978" t="n">
        <v>0</v>
      </c>
      <c r="J1978" t="n">
        <v>0</v>
      </c>
      <c r="K1978" t="n">
        <v>0</v>
      </c>
      <c r="L1978" t="n">
        <v>0</v>
      </c>
      <c r="M1978" t="n">
        <v>0</v>
      </c>
      <c r="N1978" t="n">
        <v>0</v>
      </c>
      <c r="O1978" t="n">
        <v>0</v>
      </c>
      <c r="P1978" t="n">
        <v>0</v>
      </c>
      <c r="Q1978" t="n">
        <v>0</v>
      </c>
      <c r="R1978" s="2" t="inlineStr"/>
    </row>
    <row r="1979" ht="15" customHeight="1">
      <c r="A1979" t="inlineStr">
        <is>
          <t>A 11827-2019</t>
        </is>
      </c>
      <c r="B1979" s="1" t="n">
        <v>43519</v>
      </c>
      <c r="C1979" s="1" t="n">
        <v>45227</v>
      </c>
      <c r="D1979" t="inlineStr">
        <is>
          <t>VÄSTRA GÖTALANDS LÄN</t>
        </is>
      </c>
      <c r="E1979" t="inlineStr">
        <is>
          <t>TJÖRN</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11811-2019</t>
        </is>
      </c>
      <c r="B1980" s="1" t="n">
        <v>43519</v>
      </c>
      <c r="C1980" s="1" t="n">
        <v>45227</v>
      </c>
      <c r="D1980" t="inlineStr">
        <is>
          <t>VÄSTRA GÖTALANDS LÄN</t>
        </is>
      </c>
      <c r="E1980" t="inlineStr">
        <is>
          <t>TANUM</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11864-2019</t>
        </is>
      </c>
      <c r="B1981" s="1" t="n">
        <v>43521</v>
      </c>
      <c r="C1981" s="1" t="n">
        <v>45227</v>
      </c>
      <c r="D1981" t="inlineStr">
        <is>
          <t>VÄSTRA GÖTALANDS LÄN</t>
        </is>
      </c>
      <c r="E1981" t="inlineStr">
        <is>
          <t>FÄRGELANDA</t>
        </is>
      </c>
      <c r="F1981" t="inlineStr">
        <is>
          <t>Kommuner</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11901-2019</t>
        </is>
      </c>
      <c r="B1982" s="1" t="n">
        <v>43521</v>
      </c>
      <c r="C1982" s="1" t="n">
        <v>45227</v>
      </c>
      <c r="D1982" t="inlineStr">
        <is>
          <t>VÄSTRA GÖTALANDS LÄN</t>
        </is>
      </c>
      <c r="E1982" t="inlineStr">
        <is>
          <t>MARK</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11945-2019</t>
        </is>
      </c>
      <c r="B1983" s="1" t="n">
        <v>43521</v>
      </c>
      <c r="C1983" s="1" t="n">
        <v>45227</v>
      </c>
      <c r="D1983" t="inlineStr">
        <is>
          <t>VÄSTRA GÖTALANDS LÄN</t>
        </is>
      </c>
      <c r="E1983" t="inlineStr">
        <is>
          <t>ESSUNGA</t>
        </is>
      </c>
      <c r="G1983" t="n">
        <v>3.6</v>
      </c>
      <c r="H1983" t="n">
        <v>0</v>
      </c>
      <c r="I1983" t="n">
        <v>0</v>
      </c>
      <c r="J1983" t="n">
        <v>0</v>
      </c>
      <c r="K1983" t="n">
        <v>0</v>
      </c>
      <c r="L1983" t="n">
        <v>0</v>
      </c>
      <c r="M1983" t="n">
        <v>0</v>
      </c>
      <c r="N1983" t="n">
        <v>0</v>
      </c>
      <c r="O1983" t="n">
        <v>0</v>
      </c>
      <c r="P1983" t="n">
        <v>0</v>
      </c>
      <c r="Q1983" t="n">
        <v>0</v>
      </c>
      <c r="R1983" s="2" t="inlineStr"/>
    </row>
    <row r="1984" ht="15" customHeight="1">
      <c r="A1984" t="inlineStr">
        <is>
          <t>A 12147-2019</t>
        </is>
      </c>
      <c r="B1984" s="1" t="n">
        <v>43521</v>
      </c>
      <c r="C1984" s="1" t="n">
        <v>45227</v>
      </c>
      <c r="D1984" t="inlineStr">
        <is>
          <t>VÄSTRA GÖTALANDS LÄN</t>
        </is>
      </c>
      <c r="E1984" t="inlineStr">
        <is>
          <t>TÖREBODA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11858-2019</t>
        </is>
      </c>
      <c r="B1985" s="1" t="n">
        <v>43521</v>
      </c>
      <c r="C1985" s="1" t="n">
        <v>45227</v>
      </c>
      <c r="D1985" t="inlineStr">
        <is>
          <t>VÄSTRA GÖTALANDS LÄN</t>
        </is>
      </c>
      <c r="E1985" t="inlineStr">
        <is>
          <t>STRÖMSTAD</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11900-2019</t>
        </is>
      </c>
      <c r="B1986" s="1" t="n">
        <v>43521</v>
      </c>
      <c r="C1986" s="1" t="n">
        <v>45227</v>
      </c>
      <c r="D1986" t="inlineStr">
        <is>
          <t>VÄSTRA GÖTALANDS LÄN</t>
        </is>
      </c>
      <c r="E1986" t="inlineStr">
        <is>
          <t>MARK</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11907-2019</t>
        </is>
      </c>
      <c r="B1987" s="1" t="n">
        <v>43521</v>
      </c>
      <c r="C1987" s="1" t="n">
        <v>45227</v>
      </c>
      <c r="D1987" t="inlineStr">
        <is>
          <t>VÄSTRA GÖTALANDS LÄN</t>
        </is>
      </c>
      <c r="E1987" t="inlineStr">
        <is>
          <t>GÖTENE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11949-2019</t>
        </is>
      </c>
      <c r="B1988" s="1" t="n">
        <v>43521</v>
      </c>
      <c r="C1988" s="1" t="n">
        <v>45227</v>
      </c>
      <c r="D1988" t="inlineStr">
        <is>
          <t>VÄSTRA GÖTALANDS LÄN</t>
        </is>
      </c>
      <c r="E1988" t="inlineStr">
        <is>
          <t>HERRLJUNGA</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11962-2019</t>
        </is>
      </c>
      <c r="B1989" s="1" t="n">
        <v>43521</v>
      </c>
      <c r="C1989" s="1" t="n">
        <v>45227</v>
      </c>
      <c r="D1989" t="inlineStr">
        <is>
          <t>VÄSTRA GÖTALANDS LÄN</t>
        </is>
      </c>
      <c r="E1989" t="inlineStr">
        <is>
          <t>GÖTENE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11978-2019</t>
        </is>
      </c>
      <c r="B1990" s="1" t="n">
        <v>43521</v>
      </c>
      <c r="C1990" s="1" t="n">
        <v>45227</v>
      </c>
      <c r="D1990" t="inlineStr">
        <is>
          <t>VÄSTRA GÖTALANDS LÄN</t>
        </is>
      </c>
      <c r="E1990" t="inlineStr">
        <is>
          <t>ALE</t>
        </is>
      </c>
      <c r="F1990" t="inlineStr">
        <is>
          <t>Kommuner</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12041-2019</t>
        </is>
      </c>
      <c r="B1991" s="1" t="n">
        <v>43522</v>
      </c>
      <c r="C1991" s="1" t="n">
        <v>45227</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12082-2019</t>
        </is>
      </c>
      <c r="B1992" s="1" t="n">
        <v>43522</v>
      </c>
      <c r="C1992" s="1" t="n">
        <v>45227</v>
      </c>
      <c r="D1992" t="inlineStr">
        <is>
          <t>VÄSTRA GÖTALANDS LÄN</t>
        </is>
      </c>
      <c r="E1992" t="inlineStr">
        <is>
          <t>TANUM</t>
        </is>
      </c>
      <c r="G1992" t="n">
        <v>3.6</v>
      </c>
      <c r="H1992" t="n">
        <v>0</v>
      </c>
      <c r="I1992" t="n">
        <v>0</v>
      </c>
      <c r="J1992" t="n">
        <v>0</v>
      </c>
      <c r="K1992" t="n">
        <v>0</v>
      </c>
      <c r="L1992" t="n">
        <v>0</v>
      </c>
      <c r="M1992" t="n">
        <v>0</v>
      </c>
      <c r="N1992" t="n">
        <v>0</v>
      </c>
      <c r="O1992" t="n">
        <v>0</v>
      </c>
      <c r="P1992" t="n">
        <v>0</v>
      </c>
      <c r="Q1992" t="n">
        <v>0</v>
      </c>
      <c r="R1992" s="2" t="inlineStr"/>
    </row>
    <row r="1993" ht="15" customHeight="1">
      <c r="A1993" t="inlineStr">
        <is>
          <t>A 12126-2019</t>
        </is>
      </c>
      <c r="B1993" s="1" t="n">
        <v>43522</v>
      </c>
      <c r="C1993" s="1" t="n">
        <v>45227</v>
      </c>
      <c r="D1993" t="inlineStr">
        <is>
          <t>VÄSTRA GÖTALANDS LÄN</t>
        </is>
      </c>
      <c r="E1993" t="inlineStr">
        <is>
          <t>LIDKÖPING</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12166-2019</t>
        </is>
      </c>
      <c r="B1994" s="1" t="n">
        <v>43522</v>
      </c>
      <c r="C1994" s="1" t="n">
        <v>45227</v>
      </c>
      <c r="D1994" t="inlineStr">
        <is>
          <t>VÄSTRA GÖTALANDS LÄN</t>
        </is>
      </c>
      <c r="E1994" t="inlineStr">
        <is>
          <t>SKARA</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12209-2019</t>
        </is>
      </c>
      <c r="B1995" s="1" t="n">
        <v>43522</v>
      </c>
      <c r="C1995" s="1" t="n">
        <v>45227</v>
      </c>
      <c r="D1995" t="inlineStr">
        <is>
          <t>VÄSTRA GÖTALANDS LÄN</t>
        </is>
      </c>
      <c r="E1995" t="inlineStr">
        <is>
          <t>SKÖVDE</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12189-2019</t>
        </is>
      </c>
      <c r="B1996" s="1" t="n">
        <v>43522</v>
      </c>
      <c r="C1996" s="1" t="n">
        <v>45227</v>
      </c>
      <c r="D1996" t="inlineStr">
        <is>
          <t>VÄSTRA GÖTALANDS LÄN</t>
        </is>
      </c>
      <c r="E1996" t="inlineStr">
        <is>
          <t>HERRLJUNGA</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12039-2019</t>
        </is>
      </c>
      <c r="B1997" s="1" t="n">
        <v>43522</v>
      </c>
      <c r="C1997" s="1" t="n">
        <v>45227</v>
      </c>
      <c r="D1997" t="inlineStr">
        <is>
          <t>VÄSTRA GÖTALANDS LÄN</t>
        </is>
      </c>
      <c r="E1997" t="inlineStr">
        <is>
          <t>SKARA</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12086-2019</t>
        </is>
      </c>
      <c r="B1998" s="1" t="n">
        <v>43522</v>
      </c>
      <c r="C1998" s="1" t="n">
        <v>45227</v>
      </c>
      <c r="D1998" t="inlineStr">
        <is>
          <t>VÄSTRA GÖTALANDS LÄN</t>
        </is>
      </c>
      <c r="E1998" t="inlineStr">
        <is>
          <t>MUNKEDAL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12096-2019</t>
        </is>
      </c>
      <c r="B1999" s="1" t="n">
        <v>43522</v>
      </c>
      <c r="C1999" s="1" t="n">
        <v>45227</v>
      </c>
      <c r="D1999" t="inlineStr">
        <is>
          <t>VÄSTRA GÖTALANDS LÄN</t>
        </is>
      </c>
      <c r="E1999" t="inlineStr">
        <is>
          <t>TANUM</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12110-2019</t>
        </is>
      </c>
      <c r="B2000" s="1" t="n">
        <v>43522</v>
      </c>
      <c r="C2000" s="1" t="n">
        <v>45227</v>
      </c>
      <c r="D2000" t="inlineStr">
        <is>
          <t>VÄSTRA GÖTALANDS LÄN</t>
        </is>
      </c>
      <c r="E2000" t="inlineStr">
        <is>
          <t>KARLSBORG</t>
        </is>
      </c>
      <c r="G2000" t="n">
        <v>2.3</v>
      </c>
      <c r="H2000" t="n">
        <v>0</v>
      </c>
      <c r="I2000" t="n">
        <v>0</v>
      </c>
      <c r="J2000" t="n">
        <v>0</v>
      </c>
      <c r="K2000" t="n">
        <v>0</v>
      </c>
      <c r="L2000" t="n">
        <v>0</v>
      </c>
      <c r="M2000" t="n">
        <v>0</v>
      </c>
      <c r="N2000" t="n">
        <v>0</v>
      </c>
      <c r="O2000" t="n">
        <v>0</v>
      </c>
      <c r="P2000" t="n">
        <v>0</v>
      </c>
      <c r="Q2000" t="n">
        <v>0</v>
      </c>
      <c r="R2000" s="2" t="inlineStr"/>
    </row>
    <row r="2001" ht="15" customHeight="1">
      <c r="A2001" t="inlineStr">
        <is>
          <t>A 12156-2019</t>
        </is>
      </c>
      <c r="B2001" s="1" t="n">
        <v>43522</v>
      </c>
      <c r="C2001" s="1" t="n">
        <v>45227</v>
      </c>
      <c r="D2001" t="inlineStr">
        <is>
          <t>VÄSTRA GÖTALANDS LÄN</t>
        </is>
      </c>
      <c r="E2001" t="inlineStr">
        <is>
          <t>TIBRO</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12186-2019</t>
        </is>
      </c>
      <c r="B2002" s="1" t="n">
        <v>43522</v>
      </c>
      <c r="C2002" s="1" t="n">
        <v>45227</v>
      </c>
      <c r="D2002" t="inlineStr">
        <is>
          <t>VÄSTRA GÖTALANDS LÄN</t>
        </is>
      </c>
      <c r="E2002" t="inlineStr">
        <is>
          <t>MARIESTAD</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12423-2019</t>
        </is>
      </c>
      <c r="B2003" s="1" t="n">
        <v>43522</v>
      </c>
      <c r="C2003" s="1" t="n">
        <v>45227</v>
      </c>
      <c r="D2003" t="inlineStr">
        <is>
          <t>VÄSTRA GÖTALANDS LÄN</t>
        </is>
      </c>
      <c r="E2003" t="inlineStr">
        <is>
          <t>MELLERUD</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12037-2019</t>
        </is>
      </c>
      <c r="B2004" s="1" t="n">
        <v>43522</v>
      </c>
      <c r="C2004" s="1" t="n">
        <v>45227</v>
      </c>
      <c r="D2004" t="inlineStr">
        <is>
          <t>VÄSTRA GÖTALANDS LÄN</t>
        </is>
      </c>
      <c r="E2004" t="inlineStr">
        <is>
          <t>SKARA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12178-2019</t>
        </is>
      </c>
      <c r="B2005" s="1" t="n">
        <v>43522</v>
      </c>
      <c r="C2005" s="1" t="n">
        <v>45227</v>
      </c>
      <c r="D2005" t="inlineStr">
        <is>
          <t>VÄSTRA GÖTALANDS LÄN</t>
        </is>
      </c>
      <c r="E2005" t="inlineStr">
        <is>
          <t>SKÖVDE</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12311-2019</t>
        </is>
      </c>
      <c r="B2006" s="1" t="n">
        <v>43523</v>
      </c>
      <c r="C2006" s="1" t="n">
        <v>45227</v>
      </c>
      <c r="D2006" t="inlineStr">
        <is>
          <t>VÄSTRA GÖTALANDS LÄN</t>
        </is>
      </c>
      <c r="E2006" t="inlineStr">
        <is>
          <t>ORUST</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12309-2019</t>
        </is>
      </c>
      <c r="B2007" s="1" t="n">
        <v>43523</v>
      </c>
      <c r="C2007" s="1" t="n">
        <v>45227</v>
      </c>
      <c r="D2007" t="inlineStr">
        <is>
          <t>VÄSTRA GÖTALANDS LÄN</t>
        </is>
      </c>
      <c r="E2007" t="inlineStr">
        <is>
          <t>TÖREBODA</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12364-2019</t>
        </is>
      </c>
      <c r="B2008" s="1" t="n">
        <v>43523</v>
      </c>
      <c r="C2008" s="1" t="n">
        <v>45227</v>
      </c>
      <c r="D2008" t="inlineStr">
        <is>
          <t>VÄSTRA GÖTALANDS LÄN</t>
        </is>
      </c>
      <c r="E2008" t="inlineStr">
        <is>
          <t>VÄNERSBORG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12291-2019</t>
        </is>
      </c>
      <c r="B2009" s="1" t="n">
        <v>43523</v>
      </c>
      <c r="C2009" s="1" t="n">
        <v>45227</v>
      </c>
      <c r="D2009" t="inlineStr">
        <is>
          <t>VÄSTRA GÖTALANDS LÄN</t>
        </is>
      </c>
      <c r="E2009" t="inlineStr">
        <is>
          <t>TANUM</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12317-2019</t>
        </is>
      </c>
      <c r="B2010" s="1" t="n">
        <v>43523</v>
      </c>
      <c r="C2010" s="1" t="n">
        <v>45227</v>
      </c>
      <c r="D2010" t="inlineStr">
        <is>
          <t>VÄSTRA GÖTALANDS LÄN</t>
        </is>
      </c>
      <c r="E2010" t="inlineStr">
        <is>
          <t>DALS-ED</t>
        </is>
      </c>
      <c r="G2010" t="n">
        <v>6</v>
      </c>
      <c r="H2010" t="n">
        <v>0</v>
      </c>
      <c r="I2010" t="n">
        <v>0</v>
      </c>
      <c r="J2010" t="n">
        <v>0</v>
      </c>
      <c r="K2010" t="n">
        <v>0</v>
      </c>
      <c r="L2010" t="n">
        <v>0</v>
      </c>
      <c r="M2010" t="n">
        <v>0</v>
      </c>
      <c r="N2010" t="n">
        <v>0</v>
      </c>
      <c r="O2010" t="n">
        <v>0</v>
      </c>
      <c r="P2010" t="n">
        <v>0</v>
      </c>
      <c r="Q2010" t="n">
        <v>0</v>
      </c>
      <c r="R2010" s="2" t="inlineStr"/>
    </row>
    <row r="2011" ht="15" customHeight="1">
      <c r="A2011" t="inlineStr">
        <is>
          <t>A 12375-2019</t>
        </is>
      </c>
      <c r="B2011" s="1" t="n">
        <v>43523</v>
      </c>
      <c r="C2011" s="1" t="n">
        <v>45227</v>
      </c>
      <c r="D2011" t="inlineStr">
        <is>
          <t>VÄSTRA GÖTALANDS LÄN</t>
        </is>
      </c>
      <c r="E2011" t="inlineStr">
        <is>
          <t>MARIESTAD</t>
        </is>
      </c>
      <c r="F2011" t="inlineStr">
        <is>
          <t>Sveaskog</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12439-2019</t>
        </is>
      </c>
      <c r="B2012" s="1" t="n">
        <v>43523</v>
      </c>
      <c r="C2012" s="1" t="n">
        <v>45227</v>
      </c>
      <c r="D2012" t="inlineStr">
        <is>
          <t>VÄSTRA GÖTALANDS LÄN</t>
        </is>
      </c>
      <c r="E2012" t="inlineStr">
        <is>
          <t>BENGTSFORS</t>
        </is>
      </c>
      <c r="G2012" t="n">
        <v>4.6</v>
      </c>
      <c r="H2012" t="n">
        <v>0</v>
      </c>
      <c r="I2012" t="n">
        <v>0</v>
      </c>
      <c r="J2012" t="n">
        <v>0</v>
      </c>
      <c r="K2012" t="n">
        <v>0</v>
      </c>
      <c r="L2012" t="n">
        <v>0</v>
      </c>
      <c r="M2012" t="n">
        <v>0</v>
      </c>
      <c r="N2012" t="n">
        <v>0</v>
      </c>
      <c r="O2012" t="n">
        <v>0</v>
      </c>
      <c r="P2012" t="n">
        <v>0</v>
      </c>
      <c r="Q2012" t="n">
        <v>0</v>
      </c>
      <c r="R2012" s="2" t="inlineStr"/>
    </row>
    <row r="2013" ht="15" customHeight="1">
      <c r="A2013" t="inlineStr">
        <is>
          <t>A 12320-2019</t>
        </is>
      </c>
      <c r="B2013" s="1" t="n">
        <v>43523</v>
      </c>
      <c r="C2013" s="1" t="n">
        <v>45227</v>
      </c>
      <c r="D2013" t="inlineStr">
        <is>
          <t>VÄSTRA GÖTALANDS LÄN</t>
        </is>
      </c>
      <c r="E2013" t="inlineStr">
        <is>
          <t>MARK</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12332-2019</t>
        </is>
      </c>
      <c r="B2014" s="1" t="n">
        <v>43523</v>
      </c>
      <c r="C2014" s="1" t="n">
        <v>45227</v>
      </c>
      <c r="D2014" t="inlineStr">
        <is>
          <t>VÄSTRA GÖTALANDS LÄN</t>
        </is>
      </c>
      <c r="E2014" t="inlineStr">
        <is>
          <t>BORÅS</t>
        </is>
      </c>
      <c r="G2014" t="n">
        <v>7.2</v>
      </c>
      <c r="H2014" t="n">
        <v>0</v>
      </c>
      <c r="I2014" t="n">
        <v>0</v>
      </c>
      <c r="J2014" t="n">
        <v>0</v>
      </c>
      <c r="K2014" t="n">
        <v>0</v>
      </c>
      <c r="L2014" t="n">
        <v>0</v>
      </c>
      <c r="M2014" t="n">
        <v>0</v>
      </c>
      <c r="N2014" t="n">
        <v>0</v>
      </c>
      <c r="O2014" t="n">
        <v>0</v>
      </c>
      <c r="P2014" t="n">
        <v>0</v>
      </c>
      <c r="Q2014" t="n">
        <v>0</v>
      </c>
      <c r="R2014" s="2" t="inlineStr"/>
    </row>
    <row r="2015" ht="15" customHeight="1">
      <c r="A2015" t="inlineStr">
        <is>
          <t>A 12417-2019</t>
        </is>
      </c>
      <c r="B2015" s="1" t="n">
        <v>43523</v>
      </c>
      <c r="C2015" s="1" t="n">
        <v>45227</v>
      </c>
      <c r="D2015" t="inlineStr">
        <is>
          <t>VÄSTRA GÖTALANDS LÄN</t>
        </is>
      </c>
      <c r="E2015" t="inlineStr">
        <is>
          <t>VÅRGÅRDA</t>
        </is>
      </c>
      <c r="G2015" t="n">
        <v>5.2</v>
      </c>
      <c r="H2015" t="n">
        <v>0</v>
      </c>
      <c r="I2015" t="n">
        <v>0</v>
      </c>
      <c r="J2015" t="n">
        <v>0</v>
      </c>
      <c r="K2015" t="n">
        <v>0</v>
      </c>
      <c r="L2015" t="n">
        <v>0</v>
      </c>
      <c r="M2015" t="n">
        <v>0</v>
      </c>
      <c r="N2015" t="n">
        <v>0</v>
      </c>
      <c r="O2015" t="n">
        <v>0</v>
      </c>
      <c r="P2015" t="n">
        <v>0</v>
      </c>
      <c r="Q2015" t="n">
        <v>0</v>
      </c>
      <c r="R2015" s="2" t="inlineStr"/>
      <c r="U2015">
        <f>HYPERLINK("https://klasma.github.io/Logging_1442/knärot/A 12417-2019 karta knärot.png", "A 12417-2019")</f>
        <v/>
      </c>
      <c r="V2015">
        <f>HYPERLINK("https://klasma.github.io/Logging_1442/klagomål/A 12417-2019 FSC-klagomål.docx", "A 12417-2019")</f>
        <v/>
      </c>
      <c r="W2015">
        <f>HYPERLINK("https://klasma.github.io/Logging_1442/klagomålsmail/A 12417-2019 FSC-klagomål mail.docx", "A 12417-2019")</f>
        <v/>
      </c>
      <c r="X2015">
        <f>HYPERLINK("https://klasma.github.io/Logging_1442/tillsyn/A 12417-2019 tillsynsbegäran.docx", "A 12417-2019")</f>
        <v/>
      </c>
      <c r="Y2015">
        <f>HYPERLINK("https://klasma.github.io/Logging_1442/tillsynsmail/A 12417-2019 tillsynsbegäran mail.docx", "A 12417-2019")</f>
        <v/>
      </c>
    </row>
    <row r="2016" ht="15" customHeight="1">
      <c r="A2016" t="inlineStr">
        <is>
          <t>A 12557-2019</t>
        </is>
      </c>
      <c r="B2016" s="1" t="n">
        <v>43524</v>
      </c>
      <c r="C2016" s="1" t="n">
        <v>45227</v>
      </c>
      <c r="D2016" t="inlineStr">
        <is>
          <t>VÄSTRA GÖTALANDS LÄN</t>
        </is>
      </c>
      <c r="E2016" t="inlineStr">
        <is>
          <t>BORÅS</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12730-2019</t>
        </is>
      </c>
      <c r="B2017" s="1" t="n">
        <v>43524</v>
      </c>
      <c r="C2017" s="1" t="n">
        <v>45227</v>
      </c>
      <c r="D2017" t="inlineStr">
        <is>
          <t>VÄSTRA GÖTALANDS LÄN</t>
        </is>
      </c>
      <c r="E2017" t="inlineStr">
        <is>
          <t>MARIESTAD</t>
        </is>
      </c>
      <c r="F2017" t="inlineStr">
        <is>
          <t>Kommuner</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12821-2019</t>
        </is>
      </c>
      <c r="B2018" s="1" t="n">
        <v>43524</v>
      </c>
      <c r="C2018" s="1" t="n">
        <v>45227</v>
      </c>
      <c r="D2018" t="inlineStr">
        <is>
          <t>VÄSTRA GÖTALANDS LÄN</t>
        </is>
      </c>
      <c r="E2018" t="inlineStr">
        <is>
          <t>TANUM</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12640-2019</t>
        </is>
      </c>
      <c r="B2019" s="1" t="n">
        <v>43524</v>
      </c>
      <c r="C2019" s="1" t="n">
        <v>45227</v>
      </c>
      <c r="D2019" t="inlineStr">
        <is>
          <t>VÄSTRA GÖTALANDS LÄN</t>
        </is>
      </c>
      <c r="E2019" t="inlineStr">
        <is>
          <t>FÄRGELANDA</t>
        </is>
      </c>
      <c r="F2019" t="inlineStr">
        <is>
          <t>Kommuner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12649-2019</t>
        </is>
      </c>
      <c r="B2020" s="1" t="n">
        <v>43524</v>
      </c>
      <c r="C2020" s="1" t="n">
        <v>45227</v>
      </c>
      <c r="D2020" t="inlineStr">
        <is>
          <t>VÄSTRA GÖTALANDS LÄN</t>
        </is>
      </c>
      <c r="E2020" t="inlineStr">
        <is>
          <t>TRANEMO</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12511-2019</t>
        </is>
      </c>
      <c r="B2021" s="1" t="n">
        <v>43524</v>
      </c>
      <c r="C2021" s="1" t="n">
        <v>45227</v>
      </c>
      <c r="D2021" t="inlineStr">
        <is>
          <t>VÄSTRA GÖTALANDS LÄN</t>
        </is>
      </c>
      <c r="E2021" t="inlineStr">
        <is>
          <t>SKÖVDE</t>
        </is>
      </c>
      <c r="G2021" t="n">
        <v>1.9</v>
      </c>
      <c r="H2021" t="n">
        <v>0</v>
      </c>
      <c r="I2021" t="n">
        <v>0</v>
      </c>
      <c r="J2021" t="n">
        <v>0</v>
      </c>
      <c r="K2021" t="n">
        <v>0</v>
      </c>
      <c r="L2021" t="n">
        <v>0</v>
      </c>
      <c r="M2021" t="n">
        <v>0</v>
      </c>
      <c r="N2021" t="n">
        <v>0</v>
      </c>
      <c r="O2021" t="n">
        <v>0</v>
      </c>
      <c r="P2021" t="n">
        <v>0</v>
      </c>
      <c r="Q2021" t="n">
        <v>0</v>
      </c>
      <c r="R2021" s="2" t="inlineStr"/>
    </row>
    <row r="2022" ht="15" customHeight="1">
      <c r="A2022" t="inlineStr">
        <is>
          <t>A 12597-2019</t>
        </is>
      </c>
      <c r="B2022" s="1" t="n">
        <v>43524</v>
      </c>
      <c r="C2022" s="1" t="n">
        <v>45227</v>
      </c>
      <c r="D2022" t="inlineStr">
        <is>
          <t>VÄSTRA GÖTALANDS LÄN</t>
        </is>
      </c>
      <c r="E2022" t="inlineStr">
        <is>
          <t>VARA</t>
        </is>
      </c>
      <c r="F2022" t="inlineStr">
        <is>
          <t>Kyrkan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12667-2019</t>
        </is>
      </c>
      <c r="B2023" s="1" t="n">
        <v>43524</v>
      </c>
      <c r="C2023" s="1" t="n">
        <v>45227</v>
      </c>
      <c r="D2023" t="inlineStr">
        <is>
          <t>VÄSTRA GÖTALANDS LÄN</t>
        </is>
      </c>
      <c r="E2023" t="inlineStr">
        <is>
          <t>VÄNERSBORG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12732-2019</t>
        </is>
      </c>
      <c r="B2024" s="1" t="n">
        <v>43524</v>
      </c>
      <c r="C2024" s="1" t="n">
        <v>45227</v>
      </c>
      <c r="D2024" t="inlineStr">
        <is>
          <t>VÄSTRA GÖTALANDS LÄN</t>
        </is>
      </c>
      <c r="E2024" t="inlineStr">
        <is>
          <t>ORUST</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12537-2019</t>
        </is>
      </c>
      <c r="B2025" s="1" t="n">
        <v>43524</v>
      </c>
      <c r="C2025" s="1" t="n">
        <v>45227</v>
      </c>
      <c r="D2025" t="inlineStr">
        <is>
          <t>VÄSTRA GÖTALANDS LÄN</t>
        </is>
      </c>
      <c r="E2025" t="inlineStr">
        <is>
          <t>TROLLHÄTTAN</t>
        </is>
      </c>
      <c r="F2025" t="inlineStr">
        <is>
          <t>Kommuner</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12552-2019</t>
        </is>
      </c>
      <c r="B2026" s="1" t="n">
        <v>43524</v>
      </c>
      <c r="C2026" s="1" t="n">
        <v>45227</v>
      </c>
      <c r="D2026" t="inlineStr">
        <is>
          <t>VÄSTRA GÖTALANDS LÄN</t>
        </is>
      </c>
      <c r="E2026" t="inlineStr">
        <is>
          <t>ULRICEHAMN</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12855-2019</t>
        </is>
      </c>
      <c r="B2027" s="1" t="n">
        <v>43525</v>
      </c>
      <c r="C2027" s="1" t="n">
        <v>45227</v>
      </c>
      <c r="D2027" t="inlineStr">
        <is>
          <t>VÄSTRA GÖTALANDS LÄN</t>
        </is>
      </c>
      <c r="E2027" t="inlineStr">
        <is>
          <t>TÖREBODA</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12893-2019</t>
        </is>
      </c>
      <c r="B2028" s="1" t="n">
        <v>43525</v>
      </c>
      <c r="C2028" s="1" t="n">
        <v>45227</v>
      </c>
      <c r="D2028" t="inlineStr">
        <is>
          <t>VÄSTRA GÖTALANDS LÄN</t>
        </is>
      </c>
      <c r="E2028" t="inlineStr">
        <is>
          <t>TROLLHÄTTAN</t>
        </is>
      </c>
      <c r="G2028" t="n">
        <v>7.2</v>
      </c>
      <c r="H2028" t="n">
        <v>0</v>
      </c>
      <c r="I2028" t="n">
        <v>0</v>
      </c>
      <c r="J2028" t="n">
        <v>0</v>
      </c>
      <c r="K2028" t="n">
        <v>0</v>
      </c>
      <c r="L2028" t="n">
        <v>0</v>
      </c>
      <c r="M2028" t="n">
        <v>0</v>
      </c>
      <c r="N2028" t="n">
        <v>0</v>
      </c>
      <c r="O2028" t="n">
        <v>0</v>
      </c>
      <c r="P2028" t="n">
        <v>0</v>
      </c>
      <c r="Q2028" t="n">
        <v>0</v>
      </c>
      <c r="R2028" s="2" t="inlineStr"/>
    </row>
    <row r="2029" ht="15" customHeight="1">
      <c r="A2029" t="inlineStr">
        <is>
          <t>A 12989-2019</t>
        </is>
      </c>
      <c r="B2029" s="1" t="n">
        <v>43525</v>
      </c>
      <c r="C2029" s="1" t="n">
        <v>45227</v>
      </c>
      <c r="D2029" t="inlineStr">
        <is>
          <t>VÄSTRA GÖTALANDS LÄN</t>
        </is>
      </c>
      <c r="E2029" t="inlineStr">
        <is>
          <t>TIDAHOLM</t>
        </is>
      </c>
      <c r="G2029" t="n">
        <v>5.7</v>
      </c>
      <c r="H2029" t="n">
        <v>0</v>
      </c>
      <c r="I2029" t="n">
        <v>0</v>
      </c>
      <c r="J2029" t="n">
        <v>0</v>
      </c>
      <c r="K2029" t="n">
        <v>0</v>
      </c>
      <c r="L2029" t="n">
        <v>0</v>
      </c>
      <c r="M2029" t="n">
        <v>0</v>
      </c>
      <c r="N2029" t="n">
        <v>0</v>
      </c>
      <c r="O2029" t="n">
        <v>0</v>
      </c>
      <c r="P2029" t="n">
        <v>0</v>
      </c>
      <c r="Q2029" t="n">
        <v>0</v>
      </c>
      <c r="R2029" s="2" t="inlineStr"/>
    </row>
    <row r="2030" ht="15" customHeight="1">
      <c r="A2030" t="inlineStr">
        <is>
          <t>A 12808-2019</t>
        </is>
      </c>
      <c r="B2030" s="1" t="n">
        <v>43525</v>
      </c>
      <c r="C2030" s="1" t="n">
        <v>45227</v>
      </c>
      <c r="D2030" t="inlineStr">
        <is>
          <t>VÄSTRA GÖTALANDS LÄN</t>
        </is>
      </c>
      <c r="E2030" t="inlineStr">
        <is>
          <t>GULLSPÅNG</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12848-2019</t>
        </is>
      </c>
      <c r="B2031" s="1" t="n">
        <v>43525</v>
      </c>
      <c r="C2031" s="1" t="n">
        <v>45227</v>
      </c>
      <c r="D2031" t="inlineStr">
        <is>
          <t>VÄSTRA GÖTALANDS LÄN</t>
        </is>
      </c>
      <c r="E2031" t="inlineStr">
        <is>
          <t>MARK</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12882-2019</t>
        </is>
      </c>
      <c r="B2032" s="1" t="n">
        <v>43525</v>
      </c>
      <c r="C2032" s="1" t="n">
        <v>45227</v>
      </c>
      <c r="D2032" t="inlineStr">
        <is>
          <t>VÄSTRA GÖTALANDS LÄN</t>
        </is>
      </c>
      <c r="E2032" t="inlineStr">
        <is>
          <t>DALS-ED</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12889-2019</t>
        </is>
      </c>
      <c r="B2033" s="1" t="n">
        <v>43525</v>
      </c>
      <c r="C2033" s="1" t="n">
        <v>45227</v>
      </c>
      <c r="D2033" t="inlineStr">
        <is>
          <t>VÄSTRA GÖTALANDS LÄN</t>
        </is>
      </c>
      <c r="E2033" t="inlineStr">
        <is>
          <t>TROLLHÄTTAN</t>
        </is>
      </c>
      <c r="G2033" t="n">
        <v>8.300000000000001</v>
      </c>
      <c r="H2033" t="n">
        <v>0</v>
      </c>
      <c r="I2033" t="n">
        <v>0</v>
      </c>
      <c r="J2033" t="n">
        <v>0</v>
      </c>
      <c r="K2033" t="n">
        <v>0</v>
      </c>
      <c r="L2033" t="n">
        <v>0</v>
      </c>
      <c r="M2033" t="n">
        <v>0</v>
      </c>
      <c r="N2033" t="n">
        <v>0</v>
      </c>
      <c r="O2033" t="n">
        <v>0</v>
      </c>
      <c r="P2033" t="n">
        <v>0</v>
      </c>
      <c r="Q2033" t="n">
        <v>0</v>
      </c>
      <c r="R2033" s="2" t="inlineStr"/>
    </row>
    <row r="2034" ht="15" customHeight="1">
      <c r="A2034" t="inlineStr">
        <is>
          <t>A 12818-2019</t>
        </is>
      </c>
      <c r="B2034" s="1" t="n">
        <v>43525</v>
      </c>
      <c r="C2034" s="1" t="n">
        <v>45227</v>
      </c>
      <c r="D2034" t="inlineStr">
        <is>
          <t>VÄSTRA GÖTALANDS LÄN</t>
        </is>
      </c>
      <c r="E2034" t="inlineStr">
        <is>
          <t>MUNKEDAL</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12884-2019</t>
        </is>
      </c>
      <c r="B2035" s="1" t="n">
        <v>43525</v>
      </c>
      <c r="C2035" s="1" t="n">
        <v>45227</v>
      </c>
      <c r="D2035" t="inlineStr">
        <is>
          <t>VÄSTRA GÖTALANDS LÄN</t>
        </is>
      </c>
      <c r="E2035" t="inlineStr">
        <is>
          <t>FÄRGELANDA</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12879-2019</t>
        </is>
      </c>
      <c r="B2036" s="1" t="n">
        <v>43525</v>
      </c>
      <c r="C2036" s="1" t="n">
        <v>45227</v>
      </c>
      <c r="D2036" t="inlineStr">
        <is>
          <t>VÄSTRA GÖTALANDS LÄN</t>
        </is>
      </c>
      <c r="E2036" t="inlineStr">
        <is>
          <t>DALS-ED</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12883-2019</t>
        </is>
      </c>
      <c r="B2037" s="1" t="n">
        <v>43525</v>
      </c>
      <c r="C2037" s="1" t="n">
        <v>45227</v>
      </c>
      <c r="D2037" t="inlineStr">
        <is>
          <t>VÄSTRA GÖTALANDS LÄN</t>
        </is>
      </c>
      <c r="E2037" t="inlineStr">
        <is>
          <t>FÄRGELANDA</t>
        </is>
      </c>
      <c r="G2037" t="n">
        <v>2.8</v>
      </c>
      <c r="H2037" t="n">
        <v>0</v>
      </c>
      <c r="I2037" t="n">
        <v>0</v>
      </c>
      <c r="J2037" t="n">
        <v>0</v>
      </c>
      <c r="K2037" t="n">
        <v>0</v>
      </c>
      <c r="L2037" t="n">
        <v>0</v>
      </c>
      <c r="M2037" t="n">
        <v>0</v>
      </c>
      <c r="N2037" t="n">
        <v>0</v>
      </c>
      <c r="O2037" t="n">
        <v>0</v>
      </c>
      <c r="P2037" t="n">
        <v>0</v>
      </c>
      <c r="Q2037" t="n">
        <v>0</v>
      </c>
      <c r="R2037" s="2" t="inlineStr"/>
    </row>
    <row r="2038" ht="15" customHeight="1">
      <c r="A2038" t="inlineStr">
        <is>
          <t>A 12950-2019</t>
        </is>
      </c>
      <c r="B2038" s="1" t="n">
        <v>43526</v>
      </c>
      <c r="C2038" s="1" t="n">
        <v>45227</v>
      </c>
      <c r="D2038" t="inlineStr">
        <is>
          <t>VÄSTRA GÖTALANDS LÄN</t>
        </is>
      </c>
      <c r="E2038" t="inlineStr">
        <is>
          <t>FÄRGELANDA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12983-2019</t>
        </is>
      </c>
      <c r="B2039" s="1" t="n">
        <v>43527</v>
      </c>
      <c r="C2039" s="1" t="n">
        <v>45227</v>
      </c>
      <c r="D2039" t="inlineStr">
        <is>
          <t>VÄSTRA GÖTALANDS LÄN</t>
        </is>
      </c>
      <c r="E2039" t="inlineStr">
        <is>
          <t>MUNKEDAL</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13007-2019</t>
        </is>
      </c>
      <c r="B2040" s="1" t="n">
        <v>43528</v>
      </c>
      <c r="C2040" s="1" t="n">
        <v>45227</v>
      </c>
      <c r="D2040" t="inlineStr">
        <is>
          <t>VÄSTRA GÖTALANDS LÄN</t>
        </is>
      </c>
      <c r="E2040" t="inlineStr">
        <is>
          <t>LERUM</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13023-2019</t>
        </is>
      </c>
      <c r="B2041" s="1" t="n">
        <v>43528</v>
      </c>
      <c r="C2041" s="1" t="n">
        <v>45227</v>
      </c>
      <c r="D2041" t="inlineStr">
        <is>
          <t>VÄSTRA GÖTALANDS LÄN</t>
        </is>
      </c>
      <c r="E2041" t="inlineStr">
        <is>
          <t>KARLSBORG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13372-2019</t>
        </is>
      </c>
      <c r="B2042" s="1" t="n">
        <v>43528</v>
      </c>
      <c r="C2042" s="1" t="n">
        <v>45227</v>
      </c>
      <c r="D2042" t="inlineStr">
        <is>
          <t>VÄSTRA GÖTALANDS LÄN</t>
        </is>
      </c>
      <c r="E2042" t="inlineStr">
        <is>
          <t>VÄNERSBORG</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13019-2019</t>
        </is>
      </c>
      <c r="B2043" s="1" t="n">
        <v>43528</v>
      </c>
      <c r="C2043" s="1" t="n">
        <v>45227</v>
      </c>
      <c r="D2043" t="inlineStr">
        <is>
          <t>VÄSTRA GÖTALANDS LÄN</t>
        </is>
      </c>
      <c r="E2043" t="inlineStr">
        <is>
          <t>FÄRGELANDA</t>
        </is>
      </c>
      <c r="G2043" t="n">
        <v>9</v>
      </c>
      <c r="H2043" t="n">
        <v>0</v>
      </c>
      <c r="I2043" t="n">
        <v>0</v>
      </c>
      <c r="J2043" t="n">
        <v>0</v>
      </c>
      <c r="K2043" t="n">
        <v>0</v>
      </c>
      <c r="L2043" t="n">
        <v>0</v>
      </c>
      <c r="M2043" t="n">
        <v>0</v>
      </c>
      <c r="N2043" t="n">
        <v>0</v>
      </c>
      <c r="O2043" t="n">
        <v>0</v>
      </c>
      <c r="P2043" t="n">
        <v>0</v>
      </c>
      <c r="Q2043" t="n">
        <v>0</v>
      </c>
      <c r="R2043" s="2" t="inlineStr"/>
    </row>
    <row r="2044" ht="15" customHeight="1">
      <c r="A2044" t="inlineStr">
        <is>
          <t>A 13395-2019</t>
        </is>
      </c>
      <c r="B2044" s="1" t="n">
        <v>43529</v>
      </c>
      <c r="C2044" s="1" t="n">
        <v>45227</v>
      </c>
      <c r="D2044" t="inlineStr">
        <is>
          <t>VÄSTRA GÖTALANDS LÄN</t>
        </is>
      </c>
      <c r="E2044" t="inlineStr">
        <is>
          <t>TROLLHÄTTAN</t>
        </is>
      </c>
      <c r="G2044" t="n">
        <v>0.6</v>
      </c>
      <c r="H2044" t="n">
        <v>0</v>
      </c>
      <c r="I2044" t="n">
        <v>0</v>
      </c>
      <c r="J2044" t="n">
        <v>0</v>
      </c>
      <c r="K2044" t="n">
        <v>0</v>
      </c>
      <c r="L2044" t="n">
        <v>0</v>
      </c>
      <c r="M2044" t="n">
        <v>0</v>
      </c>
      <c r="N2044" t="n">
        <v>0</v>
      </c>
      <c r="O2044" t="n">
        <v>0</v>
      </c>
      <c r="P2044" t="n">
        <v>0</v>
      </c>
      <c r="Q2044" t="n">
        <v>0</v>
      </c>
      <c r="R2044" s="2" t="inlineStr"/>
    </row>
    <row r="2045" ht="15" customHeight="1">
      <c r="A2045" t="inlineStr">
        <is>
          <t>A 13424-2019</t>
        </is>
      </c>
      <c r="B2045" s="1" t="n">
        <v>43529</v>
      </c>
      <c r="C2045" s="1" t="n">
        <v>45227</v>
      </c>
      <c r="D2045" t="inlineStr">
        <is>
          <t>VÄSTRA GÖTALANDS LÄN</t>
        </is>
      </c>
      <c r="E2045" t="inlineStr">
        <is>
          <t>MARIESTAD</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13434-2019</t>
        </is>
      </c>
      <c r="B2046" s="1" t="n">
        <v>43529</v>
      </c>
      <c r="C2046" s="1" t="n">
        <v>45227</v>
      </c>
      <c r="D2046" t="inlineStr">
        <is>
          <t>VÄSTRA GÖTALANDS LÄN</t>
        </is>
      </c>
      <c r="E2046" t="inlineStr">
        <is>
          <t>VÄNERSBORG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13517-2019</t>
        </is>
      </c>
      <c r="B2047" s="1" t="n">
        <v>43529</v>
      </c>
      <c r="C2047" s="1" t="n">
        <v>45227</v>
      </c>
      <c r="D2047" t="inlineStr">
        <is>
          <t>VÄSTRA GÖTALANDS LÄN</t>
        </is>
      </c>
      <c r="E2047" t="inlineStr">
        <is>
          <t>MUNKEDAL</t>
        </is>
      </c>
      <c r="F2047" t="inlineStr">
        <is>
          <t>Övriga Aktiebolag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13238-2019</t>
        </is>
      </c>
      <c r="B2048" s="1" t="n">
        <v>43529</v>
      </c>
      <c r="C2048" s="1" t="n">
        <v>45227</v>
      </c>
      <c r="D2048" t="inlineStr">
        <is>
          <t>VÄSTRA GÖTALANDS LÄN</t>
        </is>
      </c>
      <c r="E2048" t="inlineStr">
        <is>
          <t>BORÅS</t>
        </is>
      </c>
      <c r="G2048" t="n">
        <v>6.4</v>
      </c>
      <c r="H2048" t="n">
        <v>0</v>
      </c>
      <c r="I2048" t="n">
        <v>0</v>
      </c>
      <c r="J2048" t="n">
        <v>0</v>
      </c>
      <c r="K2048" t="n">
        <v>0</v>
      </c>
      <c r="L2048" t="n">
        <v>0</v>
      </c>
      <c r="M2048" t="n">
        <v>0</v>
      </c>
      <c r="N2048" t="n">
        <v>0</v>
      </c>
      <c r="O2048" t="n">
        <v>0</v>
      </c>
      <c r="P2048" t="n">
        <v>0</v>
      </c>
      <c r="Q2048" t="n">
        <v>0</v>
      </c>
      <c r="R2048" s="2" t="inlineStr"/>
    </row>
    <row r="2049" ht="15" customHeight="1">
      <c r="A2049" t="inlineStr">
        <is>
          <t>A 13304-2019</t>
        </is>
      </c>
      <c r="B2049" s="1" t="n">
        <v>43529</v>
      </c>
      <c r="C2049" s="1" t="n">
        <v>45227</v>
      </c>
      <c r="D2049" t="inlineStr">
        <is>
          <t>VÄSTRA GÖTALANDS LÄN</t>
        </is>
      </c>
      <c r="E2049" t="inlineStr">
        <is>
          <t>BORÅS</t>
        </is>
      </c>
      <c r="G2049" t="n">
        <v>2.9</v>
      </c>
      <c r="H2049" t="n">
        <v>0</v>
      </c>
      <c r="I2049" t="n">
        <v>0</v>
      </c>
      <c r="J2049" t="n">
        <v>0</v>
      </c>
      <c r="K2049" t="n">
        <v>0</v>
      </c>
      <c r="L2049" t="n">
        <v>0</v>
      </c>
      <c r="M2049" t="n">
        <v>0</v>
      </c>
      <c r="N2049" t="n">
        <v>0</v>
      </c>
      <c r="O2049" t="n">
        <v>0</v>
      </c>
      <c r="P2049" t="n">
        <v>0</v>
      </c>
      <c r="Q2049" t="n">
        <v>0</v>
      </c>
      <c r="R2049" s="2" t="inlineStr"/>
    </row>
    <row r="2050" ht="15" customHeight="1">
      <c r="A2050" t="inlineStr">
        <is>
          <t>A 13367-2019</t>
        </is>
      </c>
      <c r="B2050" s="1" t="n">
        <v>43529</v>
      </c>
      <c r="C2050" s="1" t="n">
        <v>45227</v>
      </c>
      <c r="D2050" t="inlineStr">
        <is>
          <t>VÄSTRA GÖTALANDS LÄN</t>
        </is>
      </c>
      <c r="E2050" t="inlineStr">
        <is>
          <t>VÅRGÅRDA</t>
        </is>
      </c>
      <c r="G2050" t="n">
        <v>5.3</v>
      </c>
      <c r="H2050" t="n">
        <v>0</v>
      </c>
      <c r="I2050" t="n">
        <v>0</v>
      </c>
      <c r="J2050" t="n">
        <v>0</v>
      </c>
      <c r="K2050" t="n">
        <v>0</v>
      </c>
      <c r="L2050" t="n">
        <v>0</v>
      </c>
      <c r="M2050" t="n">
        <v>0</v>
      </c>
      <c r="N2050" t="n">
        <v>0</v>
      </c>
      <c r="O2050" t="n">
        <v>0</v>
      </c>
      <c r="P2050" t="n">
        <v>0</v>
      </c>
      <c r="Q2050" t="n">
        <v>0</v>
      </c>
      <c r="R2050" s="2" t="inlineStr"/>
    </row>
    <row r="2051" ht="15" customHeight="1">
      <c r="A2051" t="inlineStr">
        <is>
          <t>A 13402-2019</t>
        </is>
      </c>
      <c r="B2051" s="1" t="n">
        <v>43529</v>
      </c>
      <c r="C2051" s="1" t="n">
        <v>45227</v>
      </c>
      <c r="D2051" t="inlineStr">
        <is>
          <t>VÄSTRA GÖTALANDS LÄN</t>
        </is>
      </c>
      <c r="E2051" t="inlineStr">
        <is>
          <t>SKÖVDE</t>
        </is>
      </c>
      <c r="F2051" t="inlineStr">
        <is>
          <t>Kommuner</t>
        </is>
      </c>
      <c r="G2051" t="n">
        <v>2.6</v>
      </c>
      <c r="H2051" t="n">
        <v>0</v>
      </c>
      <c r="I2051" t="n">
        <v>0</v>
      </c>
      <c r="J2051" t="n">
        <v>0</v>
      </c>
      <c r="K2051" t="n">
        <v>0</v>
      </c>
      <c r="L2051" t="n">
        <v>0</v>
      </c>
      <c r="M2051" t="n">
        <v>0</v>
      </c>
      <c r="N2051" t="n">
        <v>0</v>
      </c>
      <c r="O2051" t="n">
        <v>0</v>
      </c>
      <c r="P2051" t="n">
        <v>0</v>
      </c>
      <c r="Q2051" t="n">
        <v>0</v>
      </c>
      <c r="R2051" s="2" t="inlineStr"/>
    </row>
    <row r="2052" ht="15" customHeight="1">
      <c r="A2052" t="inlineStr">
        <is>
          <t>A 13515-2019</t>
        </is>
      </c>
      <c r="B2052" s="1" t="n">
        <v>43529</v>
      </c>
      <c r="C2052" s="1" t="n">
        <v>45227</v>
      </c>
      <c r="D2052" t="inlineStr">
        <is>
          <t>VÄSTRA GÖTALANDS LÄN</t>
        </is>
      </c>
      <c r="E2052" t="inlineStr">
        <is>
          <t>MUNKEDAL</t>
        </is>
      </c>
      <c r="F2052" t="inlineStr">
        <is>
          <t>Övriga Aktiebolag</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13338-2019</t>
        </is>
      </c>
      <c r="B2053" s="1" t="n">
        <v>43529</v>
      </c>
      <c r="C2053" s="1" t="n">
        <v>45227</v>
      </c>
      <c r="D2053" t="inlineStr">
        <is>
          <t>VÄSTRA GÖTALANDS LÄN</t>
        </is>
      </c>
      <c r="E2053" t="inlineStr">
        <is>
          <t>ESSUNGA</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13385-2019</t>
        </is>
      </c>
      <c r="B2054" s="1" t="n">
        <v>43529</v>
      </c>
      <c r="C2054" s="1" t="n">
        <v>45227</v>
      </c>
      <c r="D2054" t="inlineStr">
        <is>
          <t>VÄSTRA GÖTALANDS LÄN</t>
        </is>
      </c>
      <c r="E2054" t="inlineStr">
        <is>
          <t>TROLLHÄTTAN</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13407-2019</t>
        </is>
      </c>
      <c r="B2055" s="1" t="n">
        <v>43529</v>
      </c>
      <c r="C2055" s="1" t="n">
        <v>45227</v>
      </c>
      <c r="D2055" t="inlineStr">
        <is>
          <t>VÄSTRA GÖTALANDS LÄN</t>
        </is>
      </c>
      <c r="E2055" t="inlineStr">
        <is>
          <t>VÄNERSBORG</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13436-2019</t>
        </is>
      </c>
      <c r="B2056" s="1" t="n">
        <v>43529</v>
      </c>
      <c r="C2056" s="1" t="n">
        <v>45227</v>
      </c>
      <c r="D2056" t="inlineStr">
        <is>
          <t>VÄSTRA GÖTALANDS LÄN</t>
        </is>
      </c>
      <c r="E2056" t="inlineStr">
        <is>
          <t>VÄNERSBORG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13344-2019</t>
        </is>
      </c>
      <c r="B2057" s="1" t="n">
        <v>43529</v>
      </c>
      <c r="C2057" s="1" t="n">
        <v>45227</v>
      </c>
      <c r="D2057" t="inlineStr">
        <is>
          <t>VÄSTRA GÖTALANDS LÄN</t>
        </is>
      </c>
      <c r="E2057" t="inlineStr">
        <is>
          <t>HERRLJUNGA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13419-2019</t>
        </is>
      </c>
      <c r="B2058" s="1" t="n">
        <v>43529</v>
      </c>
      <c r="C2058" s="1" t="n">
        <v>45227</v>
      </c>
      <c r="D2058" t="inlineStr">
        <is>
          <t>VÄSTRA GÖTALANDS LÄN</t>
        </is>
      </c>
      <c r="E2058" t="inlineStr">
        <is>
          <t>MARIESTAD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13431-2019</t>
        </is>
      </c>
      <c r="B2059" s="1" t="n">
        <v>43529</v>
      </c>
      <c r="C2059" s="1" t="n">
        <v>45227</v>
      </c>
      <c r="D2059" t="inlineStr">
        <is>
          <t>VÄSTRA GÖTALANDS LÄN</t>
        </is>
      </c>
      <c r="E2059" t="inlineStr">
        <is>
          <t>TRANEMO</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13501-2019</t>
        </is>
      </c>
      <c r="B2060" s="1" t="n">
        <v>43529</v>
      </c>
      <c r="C2060" s="1" t="n">
        <v>45227</v>
      </c>
      <c r="D2060" t="inlineStr">
        <is>
          <t>VÄSTRA GÖTALANDS LÄN</t>
        </is>
      </c>
      <c r="E2060" t="inlineStr">
        <is>
          <t>MUNKEDAL</t>
        </is>
      </c>
      <c r="F2060" t="inlineStr">
        <is>
          <t>Övriga Aktiebolag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13558-2019</t>
        </is>
      </c>
      <c r="B2061" s="1" t="n">
        <v>43530</v>
      </c>
      <c r="C2061" s="1" t="n">
        <v>45227</v>
      </c>
      <c r="D2061" t="inlineStr">
        <is>
          <t>VÄSTRA GÖTALANDS LÄN</t>
        </is>
      </c>
      <c r="E2061" t="inlineStr">
        <is>
          <t>ULRICEHAMN</t>
        </is>
      </c>
      <c r="G2061" t="n">
        <v>4.7</v>
      </c>
      <c r="H2061" t="n">
        <v>0</v>
      </c>
      <c r="I2061" t="n">
        <v>0</v>
      </c>
      <c r="J2061" t="n">
        <v>0</v>
      </c>
      <c r="K2061" t="n">
        <v>0</v>
      </c>
      <c r="L2061" t="n">
        <v>0</v>
      </c>
      <c r="M2061" t="n">
        <v>0</v>
      </c>
      <c r="N2061" t="n">
        <v>0</v>
      </c>
      <c r="O2061" t="n">
        <v>0</v>
      </c>
      <c r="P2061" t="n">
        <v>0</v>
      </c>
      <c r="Q2061" t="n">
        <v>0</v>
      </c>
      <c r="R2061" s="2" t="inlineStr"/>
    </row>
    <row r="2062" ht="15" customHeight="1">
      <c r="A2062" t="inlineStr">
        <is>
          <t>A 13664-2019</t>
        </is>
      </c>
      <c r="B2062" s="1" t="n">
        <v>43530</v>
      </c>
      <c r="C2062" s="1" t="n">
        <v>45227</v>
      </c>
      <c r="D2062" t="inlineStr">
        <is>
          <t>VÄSTRA GÖTALANDS LÄN</t>
        </is>
      </c>
      <c r="E2062" t="inlineStr">
        <is>
          <t>TANUM</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13813-2019</t>
        </is>
      </c>
      <c r="B2063" s="1" t="n">
        <v>43530</v>
      </c>
      <c r="C2063" s="1" t="n">
        <v>45227</v>
      </c>
      <c r="D2063" t="inlineStr">
        <is>
          <t>VÄSTRA GÖTALANDS LÄN</t>
        </is>
      </c>
      <c r="E2063" t="inlineStr">
        <is>
          <t>VÄNERSBORG</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13567-2019</t>
        </is>
      </c>
      <c r="B2064" s="1" t="n">
        <v>43530</v>
      </c>
      <c r="C2064" s="1" t="n">
        <v>45227</v>
      </c>
      <c r="D2064" t="inlineStr">
        <is>
          <t>VÄSTRA GÖTALANDS LÄN</t>
        </is>
      </c>
      <c r="E2064" t="inlineStr">
        <is>
          <t>GULLSPÅNG</t>
        </is>
      </c>
      <c r="G2064" t="n">
        <v>2.2</v>
      </c>
      <c r="H2064" t="n">
        <v>0</v>
      </c>
      <c r="I2064" t="n">
        <v>0</v>
      </c>
      <c r="J2064" t="n">
        <v>0</v>
      </c>
      <c r="K2064" t="n">
        <v>0</v>
      </c>
      <c r="L2064" t="n">
        <v>0</v>
      </c>
      <c r="M2064" t="n">
        <v>0</v>
      </c>
      <c r="N2064" t="n">
        <v>0</v>
      </c>
      <c r="O2064" t="n">
        <v>0</v>
      </c>
      <c r="P2064" t="n">
        <v>0</v>
      </c>
      <c r="Q2064" t="n">
        <v>0</v>
      </c>
      <c r="R2064" s="2" t="inlineStr"/>
    </row>
    <row r="2065" ht="15" customHeight="1">
      <c r="A2065" t="inlineStr">
        <is>
          <t>A 13579-2019</t>
        </is>
      </c>
      <c r="B2065" s="1" t="n">
        <v>43530</v>
      </c>
      <c r="C2065" s="1" t="n">
        <v>45227</v>
      </c>
      <c r="D2065" t="inlineStr">
        <is>
          <t>VÄSTRA GÖTALANDS LÄN</t>
        </is>
      </c>
      <c r="E2065" t="inlineStr">
        <is>
          <t>LILLA EDET</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13612-2019</t>
        </is>
      </c>
      <c r="B2066" s="1" t="n">
        <v>43530</v>
      </c>
      <c r="C2066" s="1" t="n">
        <v>45227</v>
      </c>
      <c r="D2066" t="inlineStr">
        <is>
          <t>VÄSTRA GÖTALANDS LÄN</t>
        </is>
      </c>
      <c r="E2066" t="inlineStr">
        <is>
          <t>TRANEMO</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13506-2019</t>
        </is>
      </c>
      <c r="B2067" s="1" t="n">
        <v>43530</v>
      </c>
      <c r="C2067" s="1" t="n">
        <v>45227</v>
      </c>
      <c r="D2067" t="inlineStr">
        <is>
          <t>VÄSTRA GÖTALANDS LÄN</t>
        </is>
      </c>
      <c r="E2067" t="inlineStr">
        <is>
          <t>LIDKÖPING</t>
        </is>
      </c>
      <c r="F2067" t="inlineStr">
        <is>
          <t>Övriga statliga verk och myndigheter</t>
        </is>
      </c>
      <c r="G2067" t="n">
        <v>6.4</v>
      </c>
      <c r="H2067" t="n">
        <v>0</v>
      </c>
      <c r="I2067" t="n">
        <v>0</v>
      </c>
      <c r="J2067" t="n">
        <v>0</v>
      </c>
      <c r="K2067" t="n">
        <v>0</v>
      </c>
      <c r="L2067" t="n">
        <v>0</v>
      </c>
      <c r="M2067" t="n">
        <v>0</v>
      </c>
      <c r="N2067" t="n">
        <v>0</v>
      </c>
      <c r="O2067" t="n">
        <v>0</v>
      </c>
      <c r="P2067" t="n">
        <v>0</v>
      </c>
      <c r="Q2067" t="n">
        <v>0</v>
      </c>
      <c r="R2067" s="2" t="inlineStr"/>
    </row>
    <row r="2068" ht="15" customHeight="1">
      <c r="A2068" t="inlineStr">
        <is>
          <t>A 13705-2019</t>
        </is>
      </c>
      <c r="B2068" s="1" t="n">
        <v>43531</v>
      </c>
      <c r="C2068" s="1" t="n">
        <v>45227</v>
      </c>
      <c r="D2068" t="inlineStr">
        <is>
          <t>VÄSTRA GÖTALANDS LÄN</t>
        </is>
      </c>
      <c r="E2068" t="inlineStr">
        <is>
          <t>MARIESTAD</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13710-2019</t>
        </is>
      </c>
      <c r="B2069" s="1" t="n">
        <v>43531</v>
      </c>
      <c r="C2069" s="1" t="n">
        <v>45227</v>
      </c>
      <c r="D2069" t="inlineStr">
        <is>
          <t>VÄSTRA GÖTALANDS LÄN</t>
        </is>
      </c>
      <c r="E2069" t="inlineStr">
        <is>
          <t>FÄRGELANDA</t>
        </is>
      </c>
      <c r="G2069" t="n">
        <v>17.5</v>
      </c>
      <c r="H2069" t="n">
        <v>0</v>
      </c>
      <c r="I2069" t="n">
        <v>0</v>
      </c>
      <c r="J2069" t="n">
        <v>0</v>
      </c>
      <c r="K2069" t="n">
        <v>0</v>
      </c>
      <c r="L2069" t="n">
        <v>0</v>
      </c>
      <c r="M2069" t="n">
        <v>0</v>
      </c>
      <c r="N2069" t="n">
        <v>0</v>
      </c>
      <c r="O2069" t="n">
        <v>0</v>
      </c>
      <c r="P2069" t="n">
        <v>0</v>
      </c>
      <c r="Q2069" t="n">
        <v>0</v>
      </c>
      <c r="R2069" s="2" t="inlineStr"/>
    </row>
    <row r="2070" ht="15" customHeight="1">
      <c r="A2070" t="inlineStr">
        <is>
          <t>A 13895-2019</t>
        </is>
      </c>
      <c r="B2070" s="1" t="n">
        <v>43531</v>
      </c>
      <c r="C2070" s="1" t="n">
        <v>45227</v>
      </c>
      <c r="D2070" t="inlineStr">
        <is>
          <t>VÄSTRA GÖTALANDS LÄN</t>
        </is>
      </c>
      <c r="E2070" t="inlineStr">
        <is>
          <t>SVENLJUNGA</t>
        </is>
      </c>
      <c r="G2070" t="n">
        <v>11.9</v>
      </c>
      <c r="H2070" t="n">
        <v>0</v>
      </c>
      <c r="I2070" t="n">
        <v>0</v>
      </c>
      <c r="J2070" t="n">
        <v>0</v>
      </c>
      <c r="K2070" t="n">
        <v>0</v>
      </c>
      <c r="L2070" t="n">
        <v>0</v>
      </c>
      <c r="M2070" t="n">
        <v>0</v>
      </c>
      <c r="N2070" t="n">
        <v>0</v>
      </c>
      <c r="O2070" t="n">
        <v>0</v>
      </c>
      <c r="P2070" t="n">
        <v>0</v>
      </c>
      <c r="Q2070" t="n">
        <v>0</v>
      </c>
      <c r="R2070" s="2" t="inlineStr"/>
    </row>
    <row r="2071" ht="15" customHeight="1">
      <c r="A2071" t="inlineStr">
        <is>
          <t>A 13714-2019</t>
        </is>
      </c>
      <c r="B2071" s="1" t="n">
        <v>43531</v>
      </c>
      <c r="C2071" s="1" t="n">
        <v>45227</v>
      </c>
      <c r="D2071" t="inlineStr">
        <is>
          <t>VÄSTRA GÖTALANDS LÄN</t>
        </is>
      </c>
      <c r="E2071" t="inlineStr">
        <is>
          <t>FÄRGELANDA</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13807-2019</t>
        </is>
      </c>
      <c r="B2072" s="1" t="n">
        <v>43531</v>
      </c>
      <c r="C2072" s="1" t="n">
        <v>45227</v>
      </c>
      <c r="D2072" t="inlineStr">
        <is>
          <t>VÄSTRA GÖTALANDS LÄN</t>
        </is>
      </c>
      <c r="E2072" t="inlineStr">
        <is>
          <t>SKÖVDE</t>
        </is>
      </c>
      <c r="F2072" t="inlineStr">
        <is>
          <t>Sveaskog</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13704-2019</t>
        </is>
      </c>
      <c r="B2073" s="1" t="n">
        <v>43531</v>
      </c>
      <c r="C2073" s="1" t="n">
        <v>45227</v>
      </c>
      <c r="D2073" t="inlineStr">
        <is>
          <t>VÄSTRA GÖTALANDS LÄN</t>
        </is>
      </c>
      <c r="E2073" t="inlineStr">
        <is>
          <t>MARIESTAD</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13720-2019</t>
        </is>
      </c>
      <c r="B2074" s="1" t="n">
        <v>43531</v>
      </c>
      <c r="C2074" s="1" t="n">
        <v>45227</v>
      </c>
      <c r="D2074" t="inlineStr">
        <is>
          <t>VÄSTRA GÖTALANDS LÄN</t>
        </is>
      </c>
      <c r="E2074" t="inlineStr">
        <is>
          <t>UDDEVALLA</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13996-2019</t>
        </is>
      </c>
      <c r="B2075" s="1" t="n">
        <v>43532</v>
      </c>
      <c r="C2075" s="1" t="n">
        <v>45227</v>
      </c>
      <c r="D2075" t="inlineStr">
        <is>
          <t>VÄSTRA GÖTALANDS LÄN</t>
        </is>
      </c>
      <c r="E2075" t="inlineStr">
        <is>
          <t>TANUM</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14047-2019</t>
        </is>
      </c>
      <c r="B2076" s="1" t="n">
        <v>43532</v>
      </c>
      <c r="C2076" s="1" t="n">
        <v>45227</v>
      </c>
      <c r="D2076" t="inlineStr">
        <is>
          <t>VÄSTRA GÖTALANDS LÄN</t>
        </is>
      </c>
      <c r="E2076" t="inlineStr">
        <is>
          <t>GULLSPÅNG</t>
        </is>
      </c>
      <c r="G2076" t="n">
        <v>4.6</v>
      </c>
      <c r="H2076" t="n">
        <v>0</v>
      </c>
      <c r="I2076" t="n">
        <v>0</v>
      </c>
      <c r="J2076" t="n">
        <v>0</v>
      </c>
      <c r="K2076" t="n">
        <v>0</v>
      </c>
      <c r="L2076" t="n">
        <v>0</v>
      </c>
      <c r="M2076" t="n">
        <v>0</v>
      </c>
      <c r="N2076" t="n">
        <v>0</v>
      </c>
      <c r="O2076" t="n">
        <v>0</v>
      </c>
      <c r="P2076" t="n">
        <v>0</v>
      </c>
      <c r="Q2076" t="n">
        <v>0</v>
      </c>
      <c r="R2076" s="2" t="inlineStr"/>
    </row>
    <row r="2077" ht="15" customHeight="1">
      <c r="A2077" t="inlineStr">
        <is>
          <t>A 14063-2019</t>
        </is>
      </c>
      <c r="B2077" s="1" t="n">
        <v>43532</v>
      </c>
      <c r="C2077" s="1" t="n">
        <v>45227</v>
      </c>
      <c r="D2077" t="inlineStr">
        <is>
          <t>VÄSTRA GÖTALANDS LÄN</t>
        </is>
      </c>
      <c r="E2077" t="inlineStr">
        <is>
          <t>GULLSPÅNG</t>
        </is>
      </c>
      <c r="G2077" t="n">
        <v>4.6</v>
      </c>
      <c r="H2077" t="n">
        <v>0</v>
      </c>
      <c r="I2077" t="n">
        <v>0</v>
      </c>
      <c r="J2077" t="n">
        <v>0</v>
      </c>
      <c r="K2077" t="n">
        <v>0</v>
      </c>
      <c r="L2077" t="n">
        <v>0</v>
      </c>
      <c r="M2077" t="n">
        <v>0</v>
      </c>
      <c r="N2077" t="n">
        <v>0</v>
      </c>
      <c r="O2077" t="n">
        <v>0</v>
      </c>
      <c r="P2077" t="n">
        <v>0</v>
      </c>
      <c r="Q2077" t="n">
        <v>0</v>
      </c>
      <c r="R2077" s="2" t="inlineStr"/>
    </row>
    <row r="2078" ht="15" customHeight="1">
      <c r="A2078" t="inlineStr">
        <is>
          <t>A 14075-2019</t>
        </is>
      </c>
      <c r="B2078" s="1" t="n">
        <v>43532</v>
      </c>
      <c r="C2078" s="1" t="n">
        <v>45227</v>
      </c>
      <c r="D2078" t="inlineStr">
        <is>
          <t>VÄSTRA GÖTALANDS LÄN</t>
        </is>
      </c>
      <c r="E2078" t="inlineStr">
        <is>
          <t>BORÅS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14096-2019</t>
        </is>
      </c>
      <c r="B2079" s="1" t="n">
        <v>43532</v>
      </c>
      <c r="C2079" s="1" t="n">
        <v>45227</v>
      </c>
      <c r="D2079" t="inlineStr">
        <is>
          <t>VÄSTRA GÖTALANDS LÄN</t>
        </is>
      </c>
      <c r="E2079" t="inlineStr">
        <is>
          <t>MARK</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14124-2019</t>
        </is>
      </c>
      <c r="B2080" s="1" t="n">
        <v>43532</v>
      </c>
      <c r="C2080" s="1" t="n">
        <v>45227</v>
      </c>
      <c r="D2080" t="inlineStr">
        <is>
          <t>VÄSTRA GÖTALANDS LÄN</t>
        </is>
      </c>
      <c r="E2080" t="inlineStr">
        <is>
          <t>TROLLHÄTTAN</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14408-2019</t>
        </is>
      </c>
      <c r="B2081" s="1" t="n">
        <v>43532</v>
      </c>
      <c r="C2081" s="1" t="n">
        <v>45227</v>
      </c>
      <c r="D2081" t="inlineStr">
        <is>
          <t>VÄSTRA GÖTALANDS LÄN</t>
        </is>
      </c>
      <c r="E2081" t="inlineStr">
        <is>
          <t>VÄNERSBORG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14033-2019</t>
        </is>
      </c>
      <c r="B2082" s="1" t="n">
        <v>43532</v>
      </c>
      <c r="C2082" s="1" t="n">
        <v>45227</v>
      </c>
      <c r="D2082" t="inlineStr">
        <is>
          <t>VÄSTRA GÖTALANDS LÄN</t>
        </is>
      </c>
      <c r="E2082" t="inlineStr">
        <is>
          <t>TRANEMO</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14048-2019</t>
        </is>
      </c>
      <c r="B2083" s="1" t="n">
        <v>43532</v>
      </c>
      <c r="C2083" s="1" t="n">
        <v>45227</v>
      </c>
      <c r="D2083" t="inlineStr">
        <is>
          <t>VÄSTRA GÖTALANDS LÄN</t>
        </is>
      </c>
      <c r="E2083" t="inlineStr">
        <is>
          <t>ALE</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14081-2019</t>
        </is>
      </c>
      <c r="B2084" s="1" t="n">
        <v>43532</v>
      </c>
      <c r="C2084" s="1" t="n">
        <v>45227</v>
      </c>
      <c r="D2084" t="inlineStr">
        <is>
          <t>VÄSTRA GÖTALANDS LÄN</t>
        </is>
      </c>
      <c r="E2084" t="inlineStr">
        <is>
          <t>ÅMÅL</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14112-2019</t>
        </is>
      </c>
      <c r="B2085" s="1" t="n">
        <v>43532</v>
      </c>
      <c r="C2085" s="1" t="n">
        <v>45227</v>
      </c>
      <c r="D2085" t="inlineStr">
        <is>
          <t>VÄSTRA GÖTALANDS LÄN</t>
        </is>
      </c>
      <c r="E2085" t="inlineStr">
        <is>
          <t>LIDKÖPING</t>
        </is>
      </c>
      <c r="G2085" t="n">
        <v>2.8</v>
      </c>
      <c r="H2085" t="n">
        <v>0</v>
      </c>
      <c r="I2085" t="n">
        <v>0</v>
      </c>
      <c r="J2085" t="n">
        <v>0</v>
      </c>
      <c r="K2085" t="n">
        <v>0</v>
      </c>
      <c r="L2085" t="n">
        <v>0</v>
      </c>
      <c r="M2085" t="n">
        <v>0</v>
      </c>
      <c r="N2085" t="n">
        <v>0</v>
      </c>
      <c r="O2085" t="n">
        <v>0</v>
      </c>
      <c r="P2085" t="n">
        <v>0</v>
      </c>
      <c r="Q2085" t="n">
        <v>0</v>
      </c>
      <c r="R2085" s="2" t="inlineStr"/>
    </row>
    <row r="2086" ht="15" customHeight="1">
      <c r="A2086" t="inlineStr">
        <is>
          <t>A 14125-2019</t>
        </is>
      </c>
      <c r="B2086" s="1" t="n">
        <v>43532</v>
      </c>
      <c r="C2086" s="1" t="n">
        <v>45227</v>
      </c>
      <c r="D2086" t="inlineStr">
        <is>
          <t>VÄSTRA GÖTALANDS LÄN</t>
        </is>
      </c>
      <c r="E2086" t="inlineStr">
        <is>
          <t>STRÖMSTAD</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14425-2019</t>
        </is>
      </c>
      <c r="B2087" s="1" t="n">
        <v>43532</v>
      </c>
      <c r="C2087" s="1" t="n">
        <v>45227</v>
      </c>
      <c r="D2087" t="inlineStr">
        <is>
          <t>VÄSTRA GÖTALANDS LÄN</t>
        </is>
      </c>
      <c r="E2087" t="inlineStr">
        <is>
          <t>TÖREBODA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13948-2019</t>
        </is>
      </c>
      <c r="B2088" s="1" t="n">
        <v>43532</v>
      </c>
      <c r="C2088" s="1" t="n">
        <v>45227</v>
      </c>
      <c r="D2088" t="inlineStr">
        <is>
          <t>VÄSTRA GÖTALANDS LÄN</t>
        </is>
      </c>
      <c r="E2088" t="inlineStr">
        <is>
          <t>LIDKÖPING</t>
        </is>
      </c>
      <c r="F2088" t="inlineStr">
        <is>
          <t>Övriga statliga verk och myndigheter</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13988-2019</t>
        </is>
      </c>
      <c r="B2089" s="1" t="n">
        <v>43532</v>
      </c>
      <c r="C2089" s="1" t="n">
        <v>45227</v>
      </c>
      <c r="D2089" t="inlineStr">
        <is>
          <t>VÄSTRA GÖTALANDS LÄN</t>
        </is>
      </c>
      <c r="E2089" t="inlineStr">
        <is>
          <t>GULLSPÅNG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14072-2019</t>
        </is>
      </c>
      <c r="B2090" s="1" t="n">
        <v>43532</v>
      </c>
      <c r="C2090" s="1" t="n">
        <v>45227</v>
      </c>
      <c r="D2090" t="inlineStr">
        <is>
          <t>VÄSTRA GÖTALANDS LÄN</t>
        </is>
      </c>
      <c r="E2090" t="inlineStr">
        <is>
          <t>BORÅS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14114-2019</t>
        </is>
      </c>
      <c r="B2091" s="1" t="n">
        <v>43532</v>
      </c>
      <c r="C2091" s="1" t="n">
        <v>45227</v>
      </c>
      <c r="D2091" t="inlineStr">
        <is>
          <t>VÄSTRA GÖTALANDS LÄN</t>
        </is>
      </c>
      <c r="E2091" t="inlineStr">
        <is>
          <t>ULRICEHAMN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14024-2019</t>
        </is>
      </c>
      <c r="B2092" s="1" t="n">
        <v>43532</v>
      </c>
      <c r="C2092" s="1" t="n">
        <v>45227</v>
      </c>
      <c r="D2092" t="inlineStr">
        <is>
          <t>VÄSTRA GÖTALANDS LÄN</t>
        </is>
      </c>
      <c r="E2092" t="inlineStr">
        <is>
          <t>FÄRGELANDA</t>
        </is>
      </c>
      <c r="G2092" t="n">
        <v>1.5</v>
      </c>
      <c r="H2092" t="n">
        <v>0</v>
      </c>
      <c r="I2092" t="n">
        <v>0</v>
      </c>
      <c r="J2092" t="n">
        <v>0</v>
      </c>
      <c r="K2092" t="n">
        <v>0</v>
      </c>
      <c r="L2092" t="n">
        <v>0</v>
      </c>
      <c r="M2092" t="n">
        <v>0</v>
      </c>
      <c r="N2092" t="n">
        <v>0</v>
      </c>
      <c r="O2092" t="n">
        <v>0</v>
      </c>
      <c r="P2092" t="n">
        <v>0</v>
      </c>
      <c r="Q2092" t="n">
        <v>0</v>
      </c>
      <c r="R2092" s="2" t="inlineStr"/>
    </row>
    <row r="2093" ht="15" customHeight="1">
      <c r="A2093" t="inlineStr">
        <is>
          <t>A 14131-2019</t>
        </is>
      </c>
      <c r="B2093" s="1" t="n">
        <v>43532</v>
      </c>
      <c r="C2093" s="1" t="n">
        <v>45227</v>
      </c>
      <c r="D2093" t="inlineStr">
        <is>
          <t>VÄSTRA GÖTALANDS LÄN</t>
        </is>
      </c>
      <c r="E2093" t="inlineStr">
        <is>
          <t>VARA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14436-2019</t>
        </is>
      </c>
      <c r="B2094" s="1" t="n">
        <v>43532</v>
      </c>
      <c r="C2094" s="1" t="n">
        <v>45227</v>
      </c>
      <c r="D2094" t="inlineStr">
        <is>
          <t>VÄSTRA GÖTALANDS LÄN</t>
        </is>
      </c>
      <c r="E2094" t="inlineStr">
        <is>
          <t>SKÖVDE</t>
        </is>
      </c>
      <c r="G2094" t="n">
        <v>2.2</v>
      </c>
      <c r="H2094" t="n">
        <v>0</v>
      </c>
      <c r="I2094" t="n">
        <v>0</v>
      </c>
      <c r="J2094" t="n">
        <v>0</v>
      </c>
      <c r="K2094" t="n">
        <v>0</v>
      </c>
      <c r="L2094" t="n">
        <v>0</v>
      </c>
      <c r="M2094" t="n">
        <v>0</v>
      </c>
      <c r="N2094" t="n">
        <v>0</v>
      </c>
      <c r="O2094" t="n">
        <v>0</v>
      </c>
      <c r="P2094" t="n">
        <v>0</v>
      </c>
      <c r="Q2094" t="n">
        <v>0</v>
      </c>
      <c r="R2094" s="2" t="inlineStr"/>
    </row>
    <row r="2095" ht="15" customHeight="1">
      <c r="A2095" t="inlineStr">
        <is>
          <t>A 14508-2019</t>
        </is>
      </c>
      <c r="B2095" s="1" t="n">
        <v>43533</v>
      </c>
      <c r="C2095" s="1" t="n">
        <v>45227</v>
      </c>
      <c r="D2095" t="inlineStr">
        <is>
          <t>VÄSTRA GÖTALANDS LÄN</t>
        </is>
      </c>
      <c r="E2095" t="inlineStr">
        <is>
          <t>LIDKÖPING</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14509-2019</t>
        </is>
      </c>
      <c r="B2096" s="1" t="n">
        <v>43533</v>
      </c>
      <c r="C2096" s="1" t="n">
        <v>45227</v>
      </c>
      <c r="D2096" t="inlineStr">
        <is>
          <t>VÄSTRA GÖTALANDS LÄN</t>
        </is>
      </c>
      <c r="E2096" t="inlineStr">
        <is>
          <t>LIDKÖPING</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14499-2019</t>
        </is>
      </c>
      <c r="B2097" s="1" t="n">
        <v>43533</v>
      </c>
      <c r="C2097" s="1" t="n">
        <v>45227</v>
      </c>
      <c r="D2097" t="inlineStr">
        <is>
          <t>VÄSTRA GÖTALANDS LÄN</t>
        </is>
      </c>
      <c r="E2097" t="inlineStr">
        <is>
          <t>LIDKÖPING</t>
        </is>
      </c>
      <c r="G2097" t="n">
        <v>3.2</v>
      </c>
      <c r="H2097" t="n">
        <v>0</v>
      </c>
      <c r="I2097" t="n">
        <v>0</v>
      </c>
      <c r="J2097" t="n">
        <v>0</v>
      </c>
      <c r="K2097" t="n">
        <v>0</v>
      </c>
      <c r="L2097" t="n">
        <v>0</v>
      </c>
      <c r="M2097" t="n">
        <v>0</v>
      </c>
      <c r="N2097" t="n">
        <v>0</v>
      </c>
      <c r="O2097" t="n">
        <v>0</v>
      </c>
      <c r="P2097" t="n">
        <v>0</v>
      </c>
      <c r="Q2097" t="n">
        <v>0</v>
      </c>
      <c r="R2097" s="2" t="inlineStr"/>
    </row>
    <row r="2098" ht="15" customHeight="1">
      <c r="A2098" t="inlineStr">
        <is>
          <t>A 14506-2019</t>
        </is>
      </c>
      <c r="B2098" s="1" t="n">
        <v>43533</v>
      </c>
      <c r="C2098" s="1" t="n">
        <v>45227</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14195-2019</t>
        </is>
      </c>
      <c r="B2099" s="1" t="n">
        <v>43534</v>
      </c>
      <c r="C2099" s="1" t="n">
        <v>45227</v>
      </c>
      <c r="D2099" t="inlineStr">
        <is>
          <t>VÄSTRA GÖTALANDS LÄN</t>
        </is>
      </c>
      <c r="E2099" t="inlineStr">
        <is>
          <t>BENGTSFORS</t>
        </is>
      </c>
      <c r="G2099" t="n">
        <v>1.8</v>
      </c>
      <c r="H2099" t="n">
        <v>0</v>
      </c>
      <c r="I2099" t="n">
        <v>0</v>
      </c>
      <c r="J2099" t="n">
        <v>0</v>
      </c>
      <c r="K2099" t="n">
        <v>0</v>
      </c>
      <c r="L2099" t="n">
        <v>0</v>
      </c>
      <c r="M2099" t="n">
        <v>0</v>
      </c>
      <c r="N2099" t="n">
        <v>0</v>
      </c>
      <c r="O2099" t="n">
        <v>0</v>
      </c>
      <c r="P2099" t="n">
        <v>0</v>
      </c>
      <c r="Q2099" t="n">
        <v>0</v>
      </c>
      <c r="R2099" s="2" t="inlineStr"/>
    </row>
    <row r="2100" ht="15" customHeight="1">
      <c r="A2100" t="inlineStr">
        <is>
          <t>A 14193-2019</t>
        </is>
      </c>
      <c r="B2100" s="1" t="n">
        <v>43534</v>
      </c>
      <c r="C2100" s="1" t="n">
        <v>45227</v>
      </c>
      <c r="D2100" t="inlineStr">
        <is>
          <t>VÄSTRA GÖTALANDS LÄN</t>
        </is>
      </c>
      <c r="E2100" t="inlineStr">
        <is>
          <t>ÅMÅL</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14283-2019</t>
        </is>
      </c>
      <c r="B2101" s="1" t="n">
        <v>43535</v>
      </c>
      <c r="C2101" s="1" t="n">
        <v>45227</v>
      </c>
      <c r="D2101" t="inlineStr">
        <is>
          <t>VÄSTRA GÖTALANDS LÄN</t>
        </is>
      </c>
      <c r="E2101" t="inlineStr">
        <is>
          <t>LIDKÖPING</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14289-2019</t>
        </is>
      </c>
      <c r="B2102" s="1" t="n">
        <v>43535</v>
      </c>
      <c r="C2102" s="1" t="n">
        <v>45227</v>
      </c>
      <c r="D2102" t="inlineStr">
        <is>
          <t>VÄSTRA GÖTALANDS LÄN</t>
        </is>
      </c>
      <c r="E2102" t="inlineStr">
        <is>
          <t>LIDKÖPING</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14705-2019</t>
        </is>
      </c>
      <c r="B2103" s="1" t="n">
        <v>43535</v>
      </c>
      <c r="C2103" s="1" t="n">
        <v>45227</v>
      </c>
      <c r="D2103" t="inlineStr">
        <is>
          <t>VÄSTRA GÖTALANDS LÄN</t>
        </is>
      </c>
      <c r="E2103" t="inlineStr">
        <is>
          <t>VÄNERSBORG</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14713-2019</t>
        </is>
      </c>
      <c r="B2104" s="1" t="n">
        <v>43535</v>
      </c>
      <c r="C2104" s="1" t="n">
        <v>45227</v>
      </c>
      <c r="D2104" t="inlineStr">
        <is>
          <t>VÄSTRA GÖTALANDS LÄN</t>
        </is>
      </c>
      <c r="E2104" t="inlineStr">
        <is>
          <t>MARK</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14267-2019</t>
        </is>
      </c>
      <c r="B2105" s="1" t="n">
        <v>43535</v>
      </c>
      <c r="C2105" s="1" t="n">
        <v>45227</v>
      </c>
      <c r="D2105" t="inlineStr">
        <is>
          <t>VÄSTRA GÖTALANDS LÄN</t>
        </is>
      </c>
      <c r="E2105" t="inlineStr">
        <is>
          <t>GULLSPÅNG</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14322-2019</t>
        </is>
      </c>
      <c r="B2106" s="1" t="n">
        <v>43535</v>
      </c>
      <c r="C2106" s="1" t="n">
        <v>45227</v>
      </c>
      <c r="D2106" t="inlineStr">
        <is>
          <t>VÄSTRA GÖTALANDS LÄN</t>
        </is>
      </c>
      <c r="E2106" t="inlineStr">
        <is>
          <t>MARK</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14706-2019</t>
        </is>
      </c>
      <c r="B2107" s="1" t="n">
        <v>43535</v>
      </c>
      <c r="C2107" s="1" t="n">
        <v>45227</v>
      </c>
      <c r="D2107" t="inlineStr">
        <is>
          <t>VÄSTRA GÖTALANDS LÄN</t>
        </is>
      </c>
      <c r="E2107" t="inlineStr">
        <is>
          <t>VÄNERSBORG</t>
        </is>
      </c>
      <c r="G2107" t="n">
        <v>9.1</v>
      </c>
      <c r="H2107" t="n">
        <v>0</v>
      </c>
      <c r="I2107" t="n">
        <v>0</v>
      </c>
      <c r="J2107" t="n">
        <v>0</v>
      </c>
      <c r="K2107" t="n">
        <v>0</v>
      </c>
      <c r="L2107" t="n">
        <v>0</v>
      </c>
      <c r="M2107" t="n">
        <v>0</v>
      </c>
      <c r="N2107" t="n">
        <v>0</v>
      </c>
      <c r="O2107" t="n">
        <v>0</v>
      </c>
      <c r="P2107" t="n">
        <v>0</v>
      </c>
      <c r="Q2107" t="n">
        <v>0</v>
      </c>
      <c r="R2107" s="2" t="inlineStr"/>
    </row>
    <row r="2108" ht="15" customHeight="1">
      <c r="A2108" t="inlineStr">
        <is>
          <t>A 14248-2019</t>
        </is>
      </c>
      <c r="B2108" s="1" t="n">
        <v>43535</v>
      </c>
      <c r="C2108" s="1" t="n">
        <v>45227</v>
      </c>
      <c r="D2108" t="inlineStr">
        <is>
          <t>VÄSTRA GÖTALANDS LÄN</t>
        </is>
      </c>
      <c r="E2108" t="inlineStr">
        <is>
          <t>ESSUNGA</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14282-2019</t>
        </is>
      </c>
      <c r="B2109" s="1" t="n">
        <v>43535</v>
      </c>
      <c r="C2109" s="1" t="n">
        <v>45227</v>
      </c>
      <c r="D2109" t="inlineStr">
        <is>
          <t>VÄSTRA GÖTALANDS LÄN</t>
        </is>
      </c>
      <c r="E2109" t="inlineStr">
        <is>
          <t>FÄRGELANDA</t>
        </is>
      </c>
      <c r="F2109" t="inlineStr">
        <is>
          <t>Kommuner</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14320-2019</t>
        </is>
      </c>
      <c r="B2110" s="1" t="n">
        <v>43535</v>
      </c>
      <c r="C2110" s="1" t="n">
        <v>45227</v>
      </c>
      <c r="D2110" t="inlineStr">
        <is>
          <t>VÄSTRA GÖTALANDS LÄN</t>
        </is>
      </c>
      <c r="E2110" t="inlineStr">
        <is>
          <t>VARA</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14324-2019</t>
        </is>
      </c>
      <c r="B2111" s="1" t="n">
        <v>43535</v>
      </c>
      <c r="C2111" s="1" t="n">
        <v>45227</v>
      </c>
      <c r="D2111" t="inlineStr">
        <is>
          <t>VÄSTRA GÖTALANDS LÄN</t>
        </is>
      </c>
      <c r="E2111" t="inlineStr">
        <is>
          <t>MELLERUD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14243-2019</t>
        </is>
      </c>
      <c r="B2112" s="1" t="n">
        <v>43535</v>
      </c>
      <c r="C2112" s="1" t="n">
        <v>45227</v>
      </c>
      <c r="D2112" t="inlineStr">
        <is>
          <t>VÄSTRA GÖTALANDS LÄN</t>
        </is>
      </c>
      <c r="E2112" t="inlineStr">
        <is>
          <t>MUNKEDAL</t>
        </is>
      </c>
      <c r="G2112" t="n">
        <v>4.8</v>
      </c>
      <c r="H2112" t="n">
        <v>0</v>
      </c>
      <c r="I2112" t="n">
        <v>0</v>
      </c>
      <c r="J2112" t="n">
        <v>0</v>
      </c>
      <c r="K2112" t="n">
        <v>0</v>
      </c>
      <c r="L2112" t="n">
        <v>0</v>
      </c>
      <c r="M2112" t="n">
        <v>0</v>
      </c>
      <c r="N2112" t="n">
        <v>0</v>
      </c>
      <c r="O2112" t="n">
        <v>0</v>
      </c>
      <c r="P2112" t="n">
        <v>0</v>
      </c>
      <c r="Q2112" t="n">
        <v>0</v>
      </c>
      <c r="R2112" s="2" t="inlineStr"/>
    </row>
    <row r="2113" ht="15" customHeight="1">
      <c r="A2113" t="inlineStr">
        <is>
          <t>A 14281-2019</t>
        </is>
      </c>
      <c r="B2113" s="1" t="n">
        <v>43535</v>
      </c>
      <c r="C2113" s="1" t="n">
        <v>45227</v>
      </c>
      <c r="D2113" t="inlineStr">
        <is>
          <t>VÄSTRA GÖTALANDS LÄN</t>
        </is>
      </c>
      <c r="E2113" t="inlineStr">
        <is>
          <t>LIDKÖPING</t>
        </is>
      </c>
      <c r="G2113" t="n">
        <v>7.6</v>
      </c>
      <c r="H2113" t="n">
        <v>0</v>
      </c>
      <c r="I2113" t="n">
        <v>0</v>
      </c>
      <c r="J2113" t="n">
        <v>0</v>
      </c>
      <c r="K2113" t="n">
        <v>0</v>
      </c>
      <c r="L2113" t="n">
        <v>0</v>
      </c>
      <c r="M2113" t="n">
        <v>0</v>
      </c>
      <c r="N2113" t="n">
        <v>0</v>
      </c>
      <c r="O2113" t="n">
        <v>0</v>
      </c>
      <c r="P2113" t="n">
        <v>0</v>
      </c>
      <c r="Q2113" t="n">
        <v>0</v>
      </c>
      <c r="R2113" s="2" t="inlineStr"/>
    </row>
    <row r="2114" ht="15" customHeight="1">
      <c r="A2114" t="inlineStr">
        <is>
          <t>A 14328-2019</t>
        </is>
      </c>
      <c r="B2114" s="1" t="n">
        <v>43535</v>
      </c>
      <c r="C2114" s="1" t="n">
        <v>45227</v>
      </c>
      <c r="D2114" t="inlineStr">
        <is>
          <t>VÄSTRA GÖTALANDS LÄN</t>
        </is>
      </c>
      <c r="E2114" t="inlineStr">
        <is>
          <t>STRÖMSTAD</t>
        </is>
      </c>
      <c r="F2114" t="inlineStr">
        <is>
          <t>Kyrkan</t>
        </is>
      </c>
      <c r="G2114" t="n">
        <v>25.9</v>
      </c>
      <c r="H2114" t="n">
        <v>0</v>
      </c>
      <c r="I2114" t="n">
        <v>0</v>
      </c>
      <c r="J2114" t="n">
        <v>0</v>
      </c>
      <c r="K2114" t="n">
        <v>0</v>
      </c>
      <c r="L2114" t="n">
        <v>0</v>
      </c>
      <c r="M2114" t="n">
        <v>0</v>
      </c>
      <c r="N2114" t="n">
        <v>0</v>
      </c>
      <c r="O2114" t="n">
        <v>0</v>
      </c>
      <c r="P2114" t="n">
        <v>0</v>
      </c>
      <c r="Q2114" t="n">
        <v>0</v>
      </c>
      <c r="R2114" s="2" t="inlineStr"/>
    </row>
    <row r="2115" ht="15" customHeight="1">
      <c r="A2115" t="inlineStr">
        <is>
          <t>A 14335-2019</t>
        </is>
      </c>
      <c r="B2115" s="1" t="n">
        <v>43535</v>
      </c>
      <c r="C2115" s="1" t="n">
        <v>45227</v>
      </c>
      <c r="D2115" t="inlineStr">
        <is>
          <t>VÄSTRA GÖTALANDS LÄN</t>
        </is>
      </c>
      <c r="E2115" t="inlineStr">
        <is>
          <t>ALE</t>
        </is>
      </c>
      <c r="G2115" t="n">
        <v>5.8</v>
      </c>
      <c r="H2115" t="n">
        <v>0</v>
      </c>
      <c r="I2115" t="n">
        <v>0</v>
      </c>
      <c r="J2115" t="n">
        <v>0</v>
      </c>
      <c r="K2115" t="n">
        <v>0</v>
      </c>
      <c r="L2115" t="n">
        <v>0</v>
      </c>
      <c r="M2115" t="n">
        <v>0</v>
      </c>
      <c r="N2115" t="n">
        <v>0</v>
      </c>
      <c r="O2115" t="n">
        <v>0</v>
      </c>
      <c r="P2115" t="n">
        <v>0</v>
      </c>
      <c r="Q2115" t="n">
        <v>0</v>
      </c>
      <c r="R2115" s="2" t="inlineStr"/>
    </row>
    <row r="2116" ht="15" customHeight="1">
      <c r="A2116" t="inlineStr">
        <is>
          <t>A 14235-2019</t>
        </is>
      </c>
      <c r="B2116" s="1" t="n">
        <v>43536</v>
      </c>
      <c r="C2116" s="1" t="n">
        <v>45227</v>
      </c>
      <c r="D2116" t="inlineStr">
        <is>
          <t>VÄSTRA GÖTALANDS LÄN</t>
        </is>
      </c>
      <c r="E2116" t="inlineStr">
        <is>
          <t>TANUM</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14593-2019</t>
        </is>
      </c>
      <c r="B2117" s="1" t="n">
        <v>43536</v>
      </c>
      <c r="C2117" s="1" t="n">
        <v>45227</v>
      </c>
      <c r="D2117" t="inlineStr">
        <is>
          <t>VÄSTRA GÖTALANDS LÄN</t>
        </is>
      </c>
      <c r="E2117" t="inlineStr">
        <is>
          <t>TÖREBODA</t>
        </is>
      </c>
      <c r="G2117" t="n">
        <v>11.9</v>
      </c>
      <c r="H2117" t="n">
        <v>0</v>
      </c>
      <c r="I2117" t="n">
        <v>0</v>
      </c>
      <c r="J2117" t="n">
        <v>0</v>
      </c>
      <c r="K2117" t="n">
        <v>0</v>
      </c>
      <c r="L2117" t="n">
        <v>0</v>
      </c>
      <c r="M2117" t="n">
        <v>0</v>
      </c>
      <c r="N2117" t="n">
        <v>0</v>
      </c>
      <c r="O2117" t="n">
        <v>0</v>
      </c>
      <c r="P2117" t="n">
        <v>0</v>
      </c>
      <c r="Q2117" t="n">
        <v>0</v>
      </c>
      <c r="R2117" s="2" t="inlineStr"/>
    </row>
    <row r="2118" ht="15" customHeight="1">
      <c r="A2118" t="inlineStr">
        <is>
          <t>A 14363-2019</t>
        </is>
      </c>
      <c r="B2118" s="1" t="n">
        <v>43536</v>
      </c>
      <c r="C2118" s="1" t="n">
        <v>45227</v>
      </c>
      <c r="D2118" t="inlineStr">
        <is>
          <t>VÄSTRA GÖTALANDS LÄN</t>
        </is>
      </c>
      <c r="E2118" t="inlineStr">
        <is>
          <t>UDDEVALLA</t>
        </is>
      </c>
      <c r="G2118" t="n">
        <v>33.3</v>
      </c>
      <c r="H2118" t="n">
        <v>0</v>
      </c>
      <c r="I2118" t="n">
        <v>0</v>
      </c>
      <c r="J2118" t="n">
        <v>0</v>
      </c>
      <c r="K2118" t="n">
        <v>0</v>
      </c>
      <c r="L2118" t="n">
        <v>0</v>
      </c>
      <c r="M2118" t="n">
        <v>0</v>
      </c>
      <c r="N2118" t="n">
        <v>0</v>
      </c>
      <c r="O2118" t="n">
        <v>0</v>
      </c>
      <c r="P2118" t="n">
        <v>0</v>
      </c>
      <c r="Q2118" t="n">
        <v>0</v>
      </c>
      <c r="R2118" s="2" t="inlineStr"/>
    </row>
    <row r="2119" ht="15" customHeight="1">
      <c r="A2119" t="inlineStr">
        <is>
          <t>A 14589-2019</t>
        </is>
      </c>
      <c r="B2119" s="1" t="n">
        <v>43536</v>
      </c>
      <c r="C2119" s="1" t="n">
        <v>45227</v>
      </c>
      <c r="D2119" t="inlineStr">
        <is>
          <t>VÄSTRA GÖTALANDS LÄN</t>
        </is>
      </c>
      <c r="E2119" t="inlineStr">
        <is>
          <t>TÖREBODA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14763-2019</t>
        </is>
      </c>
      <c r="B2120" s="1" t="n">
        <v>43536</v>
      </c>
      <c r="C2120" s="1" t="n">
        <v>45227</v>
      </c>
      <c r="D2120" t="inlineStr">
        <is>
          <t>VÄSTRA GÖTALANDS LÄN</t>
        </is>
      </c>
      <c r="E2120" t="inlineStr">
        <is>
          <t>DALS-ED</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14590-2019</t>
        </is>
      </c>
      <c r="B2121" s="1" t="n">
        <v>43536</v>
      </c>
      <c r="C2121" s="1" t="n">
        <v>45227</v>
      </c>
      <c r="D2121" t="inlineStr">
        <is>
          <t>VÄSTRA GÖTALANDS LÄN</t>
        </is>
      </c>
      <c r="E2121" t="inlineStr">
        <is>
          <t>TÖREBODA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14423-2019</t>
        </is>
      </c>
      <c r="B2122" s="1" t="n">
        <v>43536</v>
      </c>
      <c r="C2122" s="1" t="n">
        <v>45227</v>
      </c>
      <c r="D2122" t="inlineStr">
        <is>
          <t>VÄSTRA GÖTALANDS LÄN</t>
        </is>
      </c>
      <c r="E2122" t="inlineStr">
        <is>
          <t>BENGTSFORS</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14592-2019</t>
        </is>
      </c>
      <c r="B2123" s="1" t="n">
        <v>43536</v>
      </c>
      <c r="C2123" s="1" t="n">
        <v>45227</v>
      </c>
      <c r="D2123" t="inlineStr">
        <is>
          <t>VÄSTRA GÖTALANDS LÄN</t>
        </is>
      </c>
      <c r="E2123" t="inlineStr">
        <is>
          <t>MARK</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14776-2019</t>
        </is>
      </c>
      <c r="B2124" s="1" t="n">
        <v>43537</v>
      </c>
      <c r="C2124" s="1" t="n">
        <v>45227</v>
      </c>
      <c r="D2124" t="inlineStr">
        <is>
          <t>VÄSTRA GÖTALANDS LÄN</t>
        </is>
      </c>
      <c r="E2124" t="inlineStr">
        <is>
          <t>DALS-ED</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14795-2019</t>
        </is>
      </c>
      <c r="B2125" s="1" t="n">
        <v>43537</v>
      </c>
      <c r="C2125" s="1" t="n">
        <v>45227</v>
      </c>
      <c r="D2125" t="inlineStr">
        <is>
          <t>VÄSTRA GÖTALANDS LÄN</t>
        </is>
      </c>
      <c r="E2125" t="inlineStr">
        <is>
          <t>BENGTSFORS</t>
        </is>
      </c>
      <c r="G2125" t="n">
        <v>4.3</v>
      </c>
      <c r="H2125" t="n">
        <v>0</v>
      </c>
      <c r="I2125" t="n">
        <v>0</v>
      </c>
      <c r="J2125" t="n">
        <v>0</v>
      </c>
      <c r="K2125" t="n">
        <v>0</v>
      </c>
      <c r="L2125" t="n">
        <v>0</v>
      </c>
      <c r="M2125" t="n">
        <v>0</v>
      </c>
      <c r="N2125" t="n">
        <v>0</v>
      </c>
      <c r="O2125" t="n">
        <v>0</v>
      </c>
      <c r="P2125" t="n">
        <v>0</v>
      </c>
      <c r="Q2125" t="n">
        <v>0</v>
      </c>
      <c r="R2125" s="2" t="inlineStr"/>
    </row>
    <row r="2126" ht="15" customHeight="1">
      <c r="A2126" t="inlineStr">
        <is>
          <t>A 14879-2019</t>
        </is>
      </c>
      <c r="B2126" s="1" t="n">
        <v>43537</v>
      </c>
      <c r="C2126" s="1" t="n">
        <v>45227</v>
      </c>
      <c r="D2126" t="inlineStr">
        <is>
          <t>VÄSTRA GÖTALANDS LÄN</t>
        </is>
      </c>
      <c r="E2126" t="inlineStr">
        <is>
          <t>DALS-ED</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14919-2019</t>
        </is>
      </c>
      <c r="B2127" s="1" t="n">
        <v>43537</v>
      </c>
      <c r="C2127" s="1" t="n">
        <v>45227</v>
      </c>
      <c r="D2127" t="inlineStr">
        <is>
          <t>VÄSTRA GÖTALANDS LÄN</t>
        </is>
      </c>
      <c r="E2127" t="inlineStr">
        <is>
          <t>BORÅS</t>
        </is>
      </c>
      <c r="G2127" t="n">
        <v>7.1</v>
      </c>
      <c r="H2127" t="n">
        <v>0</v>
      </c>
      <c r="I2127" t="n">
        <v>0</v>
      </c>
      <c r="J2127" t="n">
        <v>0</v>
      </c>
      <c r="K2127" t="n">
        <v>0</v>
      </c>
      <c r="L2127" t="n">
        <v>0</v>
      </c>
      <c r="M2127" t="n">
        <v>0</v>
      </c>
      <c r="N2127" t="n">
        <v>0</v>
      </c>
      <c r="O2127" t="n">
        <v>0</v>
      </c>
      <c r="P2127" t="n">
        <v>0</v>
      </c>
      <c r="Q2127" t="n">
        <v>0</v>
      </c>
      <c r="R2127" s="2" t="inlineStr"/>
    </row>
    <row r="2128" ht="15" customHeight="1">
      <c r="A2128" t="inlineStr">
        <is>
          <t>A 15018-2019</t>
        </is>
      </c>
      <c r="B2128" s="1" t="n">
        <v>43537</v>
      </c>
      <c r="C2128" s="1" t="n">
        <v>45227</v>
      </c>
      <c r="D2128" t="inlineStr">
        <is>
          <t>VÄSTRA GÖTALANDS LÄN</t>
        </is>
      </c>
      <c r="E2128" t="inlineStr">
        <is>
          <t>MARK</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14526-2019</t>
        </is>
      </c>
      <c r="B2129" s="1" t="n">
        <v>43537</v>
      </c>
      <c r="C2129" s="1" t="n">
        <v>45227</v>
      </c>
      <c r="D2129" t="inlineStr">
        <is>
          <t>VÄSTRA GÖTALANDS LÄN</t>
        </is>
      </c>
      <c r="E2129" t="inlineStr">
        <is>
          <t>FÄRGELANDA</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14605-2019</t>
        </is>
      </c>
      <c r="B2130" s="1" t="n">
        <v>43537</v>
      </c>
      <c r="C2130" s="1" t="n">
        <v>45227</v>
      </c>
      <c r="D2130" t="inlineStr">
        <is>
          <t>VÄSTRA GÖTALANDS LÄN</t>
        </is>
      </c>
      <c r="E2130" t="inlineStr">
        <is>
          <t>ESSUNGA</t>
        </is>
      </c>
      <c r="G2130" t="n">
        <v>6.1</v>
      </c>
      <c r="H2130" t="n">
        <v>0</v>
      </c>
      <c r="I2130" t="n">
        <v>0</v>
      </c>
      <c r="J2130" t="n">
        <v>0</v>
      </c>
      <c r="K2130" t="n">
        <v>0</v>
      </c>
      <c r="L2130" t="n">
        <v>0</v>
      </c>
      <c r="M2130" t="n">
        <v>0</v>
      </c>
      <c r="N2130" t="n">
        <v>0</v>
      </c>
      <c r="O2130" t="n">
        <v>0</v>
      </c>
      <c r="P2130" t="n">
        <v>0</v>
      </c>
      <c r="Q2130" t="n">
        <v>0</v>
      </c>
      <c r="R2130" s="2" t="inlineStr"/>
    </row>
    <row r="2131" ht="15" customHeight="1">
      <c r="A2131" t="inlineStr">
        <is>
          <t>A 14770-2019</t>
        </is>
      </c>
      <c r="B2131" s="1" t="n">
        <v>43537</v>
      </c>
      <c r="C2131" s="1" t="n">
        <v>45227</v>
      </c>
      <c r="D2131" t="inlineStr">
        <is>
          <t>VÄSTRA GÖTALANDS LÄN</t>
        </is>
      </c>
      <c r="E2131" t="inlineStr">
        <is>
          <t>KARLSBORG</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15957-2019</t>
        </is>
      </c>
      <c r="B2132" s="1" t="n">
        <v>43537</v>
      </c>
      <c r="C2132" s="1" t="n">
        <v>45227</v>
      </c>
      <c r="D2132" t="inlineStr">
        <is>
          <t>VÄSTRA GÖTALANDS LÄN</t>
        </is>
      </c>
      <c r="E2132" t="inlineStr">
        <is>
          <t>MUNKEDAL</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15082-2019</t>
        </is>
      </c>
      <c r="B2133" s="1" t="n">
        <v>43537</v>
      </c>
      <c r="C2133" s="1" t="n">
        <v>45227</v>
      </c>
      <c r="D2133" t="inlineStr">
        <is>
          <t>VÄSTRA GÖTALANDS LÄN</t>
        </is>
      </c>
      <c r="E2133" t="inlineStr">
        <is>
          <t>FÄRGELANDA</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15055-2019</t>
        </is>
      </c>
      <c r="B2134" s="1" t="n">
        <v>43537</v>
      </c>
      <c r="C2134" s="1" t="n">
        <v>45227</v>
      </c>
      <c r="D2134" t="inlineStr">
        <is>
          <t>VÄSTRA GÖTALANDS LÄN</t>
        </is>
      </c>
      <c r="E2134" t="inlineStr">
        <is>
          <t>VÄNERSBORG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14931-2019</t>
        </is>
      </c>
      <c r="B2135" s="1" t="n">
        <v>43538</v>
      </c>
      <c r="C2135" s="1" t="n">
        <v>45227</v>
      </c>
      <c r="D2135" t="inlineStr">
        <is>
          <t>VÄSTRA GÖTALANDS LÄN</t>
        </is>
      </c>
      <c r="E2135" t="inlineStr">
        <is>
          <t>DALS-ED</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15047-2019</t>
        </is>
      </c>
      <c r="B2136" s="1" t="n">
        <v>43538</v>
      </c>
      <c r="C2136" s="1" t="n">
        <v>45227</v>
      </c>
      <c r="D2136" t="inlineStr">
        <is>
          <t>VÄSTRA GÖTALANDS LÄN</t>
        </is>
      </c>
      <c r="E2136" t="inlineStr">
        <is>
          <t>TANUM</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15063-2019</t>
        </is>
      </c>
      <c r="B2137" s="1" t="n">
        <v>43538</v>
      </c>
      <c r="C2137" s="1" t="n">
        <v>45227</v>
      </c>
      <c r="D2137" t="inlineStr">
        <is>
          <t>VÄSTRA GÖTALANDS LÄN</t>
        </is>
      </c>
      <c r="E2137" t="inlineStr">
        <is>
          <t>MELLERUD</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15076-2019</t>
        </is>
      </c>
      <c r="B2138" s="1" t="n">
        <v>43538</v>
      </c>
      <c r="C2138" s="1" t="n">
        <v>45227</v>
      </c>
      <c r="D2138" t="inlineStr">
        <is>
          <t>VÄSTRA GÖTALANDS LÄN</t>
        </is>
      </c>
      <c r="E2138" t="inlineStr">
        <is>
          <t>DALS-ED</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15054-2019</t>
        </is>
      </c>
      <c r="B2139" s="1" t="n">
        <v>43538</v>
      </c>
      <c r="C2139" s="1" t="n">
        <v>45227</v>
      </c>
      <c r="D2139" t="inlineStr">
        <is>
          <t>VÄSTRA GÖTALANDS LÄN</t>
        </is>
      </c>
      <c r="E2139" t="inlineStr">
        <is>
          <t>BENGTSFORS</t>
        </is>
      </c>
      <c r="F2139" t="inlineStr">
        <is>
          <t>Kommuner</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15153-2019</t>
        </is>
      </c>
      <c r="B2140" s="1" t="n">
        <v>43538</v>
      </c>
      <c r="C2140" s="1" t="n">
        <v>45227</v>
      </c>
      <c r="D2140" t="inlineStr">
        <is>
          <t>VÄSTRA GÖTALANDS LÄN</t>
        </is>
      </c>
      <c r="E2140" t="inlineStr">
        <is>
          <t>SOTENÄS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14668-2019</t>
        </is>
      </c>
      <c r="B2141" s="1" t="n">
        <v>43538</v>
      </c>
      <c r="C2141" s="1" t="n">
        <v>45227</v>
      </c>
      <c r="D2141" t="inlineStr">
        <is>
          <t>VÄSTRA GÖTALANDS LÄN</t>
        </is>
      </c>
      <c r="E2141" t="inlineStr">
        <is>
          <t>ULRICEHAMN</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14799-2019</t>
        </is>
      </c>
      <c r="B2142" s="1" t="n">
        <v>43539</v>
      </c>
      <c r="C2142" s="1" t="n">
        <v>45227</v>
      </c>
      <c r="D2142" t="inlineStr">
        <is>
          <t>VÄSTRA GÖTALANDS LÄN</t>
        </is>
      </c>
      <c r="E2142" t="inlineStr">
        <is>
          <t>SKÖVDE</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15581-2019</t>
        </is>
      </c>
      <c r="B2143" s="1" t="n">
        <v>43539</v>
      </c>
      <c r="C2143" s="1" t="n">
        <v>45227</v>
      </c>
      <c r="D2143" t="inlineStr">
        <is>
          <t>VÄSTRA GÖTALANDS LÄN</t>
        </is>
      </c>
      <c r="E2143" t="inlineStr">
        <is>
          <t>BORÅS</t>
        </is>
      </c>
      <c r="F2143" t="inlineStr">
        <is>
          <t>Kommuner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15179-2019</t>
        </is>
      </c>
      <c r="B2144" s="1" t="n">
        <v>43539</v>
      </c>
      <c r="C2144" s="1" t="n">
        <v>45227</v>
      </c>
      <c r="D2144" t="inlineStr">
        <is>
          <t>VÄSTRA GÖTALANDS LÄN</t>
        </is>
      </c>
      <c r="E2144" t="inlineStr">
        <is>
          <t>BENGTSFORS</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15232-2019</t>
        </is>
      </c>
      <c r="B2145" s="1" t="n">
        <v>43539</v>
      </c>
      <c r="C2145" s="1" t="n">
        <v>45227</v>
      </c>
      <c r="D2145" t="inlineStr">
        <is>
          <t>VÄSTRA GÖTALANDS LÄN</t>
        </is>
      </c>
      <c r="E2145" t="inlineStr">
        <is>
          <t>KUNGÄLV</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15583-2019</t>
        </is>
      </c>
      <c r="B2146" s="1" t="n">
        <v>43539</v>
      </c>
      <c r="C2146" s="1" t="n">
        <v>45227</v>
      </c>
      <c r="D2146" t="inlineStr">
        <is>
          <t>VÄSTRA GÖTALANDS LÄN</t>
        </is>
      </c>
      <c r="E2146" t="inlineStr">
        <is>
          <t>BORÅS</t>
        </is>
      </c>
      <c r="F2146" t="inlineStr">
        <is>
          <t>Kommuner</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15371-2019</t>
        </is>
      </c>
      <c r="B2147" s="1" t="n">
        <v>43541</v>
      </c>
      <c r="C2147" s="1" t="n">
        <v>45227</v>
      </c>
      <c r="D2147" t="inlineStr">
        <is>
          <t>VÄSTRA GÖTALANDS LÄN</t>
        </is>
      </c>
      <c r="E2147" t="inlineStr">
        <is>
          <t>TANUM</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15434-2019</t>
        </is>
      </c>
      <c r="B2148" s="1" t="n">
        <v>43542</v>
      </c>
      <c r="C2148" s="1" t="n">
        <v>45227</v>
      </c>
      <c r="D2148" t="inlineStr">
        <is>
          <t>VÄSTRA GÖTALANDS LÄN</t>
        </is>
      </c>
      <c r="E2148" t="inlineStr">
        <is>
          <t>SKÖVDE</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15532-2019</t>
        </is>
      </c>
      <c r="B2149" s="1" t="n">
        <v>43542</v>
      </c>
      <c r="C2149" s="1" t="n">
        <v>45227</v>
      </c>
      <c r="D2149" t="inlineStr">
        <is>
          <t>VÄSTRA GÖTALANDS LÄN</t>
        </is>
      </c>
      <c r="E2149" t="inlineStr">
        <is>
          <t>GÖTENE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15745-2019</t>
        </is>
      </c>
      <c r="B2150" s="1" t="n">
        <v>43542</v>
      </c>
      <c r="C2150" s="1" t="n">
        <v>45227</v>
      </c>
      <c r="D2150" t="inlineStr">
        <is>
          <t>VÄSTRA GÖTALANDS LÄN</t>
        </is>
      </c>
      <c r="E2150" t="inlineStr">
        <is>
          <t>MELLERUD</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15788-2019</t>
        </is>
      </c>
      <c r="B2151" s="1" t="n">
        <v>43542</v>
      </c>
      <c r="C2151" s="1" t="n">
        <v>45227</v>
      </c>
      <c r="D2151" t="inlineStr">
        <is>
          <t>VÄSTRA GÖTALANDS LÄN</t>
        </is>
      </c>
      <c r="E2151" t="inlineStr">
        <is>
          <t>VARA</t>
        </is>
      </c>
      <c r="G2151" t="n">
        <v>4.9</v>
      </c>
      <c r="H2151" t="n">
        <v>0</v>
      </c>
      <c r="I2151" t="n">
        <v>0</v>
      </c>
      <c r="J2151" t="n">
        <v>0</v>
      </c>
      <c r="K2151" t="n">
        <v>0</v>
      </c>
      <c r="L2151" t="n">
        <v>0</v>
      </c>
      <c r="M2151" t="n">
        <v>0</v>
      </c>
      <c r="N2151" t="n">
        <v>0</v>
      </c>
      <c r="O2151" t="n">
        <v>0</v>
      </c>
      <c r="P2151" t="n">
        <v>0</v>
      </c>
      <c r="Q2151" t="n">
        <v>0</v>
      </c>
      <c r="R2151" s="2" t="inlineStr"/>
    </row>
    <row r="2152" ht="15" customHeight="1">
      <c r="A2152" t="inlineStr">
        <is>
          <t>A 15809-2019</t>
        </is>
      </c>
      <c r="B2152" s="1" t="n">
        <v>43542</v>
      </c>
      <c r="C2152" s="1" t="n">
        <v>45227</v>
      </c>
      <c r="D2152" t="inlineStr">
        <is>
          <t>VÄSTRA GÖTALANDS LÄN</t>
        </is>
      </c>
      <c r="E2152" t="inlineStr">
        <is>
          <t>DALS-ED</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15447-2019</t>
        </is>
      </c>
      <c r="B2153" s="1" t="n">
        <v>43542</v>
      </c>
      <c r="C2153" s="1" t="n">
        <v>45227</v>
      </c>
      <c r="D2153" t="inlineStr">
        <is>
          <t>VÄSTRA GÖTALANDS LÄN</t>
        </is>
      </c>
      <c r="E2153" t="inlineStr">
        <is>
          <t>MELLERUD</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15743-2019</t>
        </is>
      </c>
      <c r="B2154" s="1" t="n">
        <v>43542</v>
      </c>
      <c r="C2154" s="1" t="n">
        <v>45227</v>
      </c>
      <c r="D2154" t="inlineStr">
        <is>
          <t>VÄSTRA GÖTALANDS LÄN</t>
        </is>
      </c>
      <c r="E2154" t="inlineStr">
        <is>
          <t>FALKÖPING</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15803-2019</t>
        </is>
      </c>
      <c r="B2155" s="1" t="n">
        <v>43542</v>
      </c>
      <c r="C2155" s="1" t="n">
        <v>45227</v>
      </c>
      <c r="D2155" t="inlineStr">
        <is>
          <t>VÄSTRA GÖTALANDS LÄN</t>
        </is>
      </c>
      <c r="E2155" t="inlineStr">
        <is>
          <t>FALKÖPING</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15819-2019</t>
        </is>
      </c>
      <c r="B2156" s="1" t="n">
        <v>43542</v>
      </c>
      <c r="C2156" s="1" t="n">
        <v>45227</v>
      </c>
      <c r="D2156" t="inlineStr">
        <is>
          <t>VÄSTRA GÖTALANDS LÄN</t>
        </is>
      </c>
      <c r="E2156" t="inlineStr">
        <is>
          <t>BENGTSFORS</t>
        </is>
      </c>
      <c r="G2156" t="n">
        <v>3.5</v>
      </c>
      <c r="H2156" t="n">
        <v>0</v>
      </c>
      <c r="I2156" t="n">
        <v>0</v>
      </c>
      <c r="J2156" t="n">
        <v>0</v>
      </c>
      <c r="K2156" t="n">
        <v>0</v>
      </c>
      <c r="L2156" t="n">
        <v>0</v>
      </c>
      <c r="M2156" t="n">
        <v>0</v>
      </c>
      <c r="N2156" t="n">
        <v>0</v>
      </c>
      <c r="O2156" t="n">
        <v>0</v>
      </c>
      <c r="P2156" t="n">
        <v>0</v>
      </c>
      <c r="Q2156" t="n">
        <v>0</v>
      </c>
      <c r="R2156" s="2" t="inlineStr"/>
    </row>
    <row r="2157" ht="15" customHeight="1">
      <c r="A2157" t="inlineStr">
        <is>
          <t>A 15298-2019</t>
        </is>
      </c>
      <c r="B2157" s="1" t="n">
        <v>43542</v>
      </c>
      <c r="C2157" s="1" t="n">
        <v>45227</v>
      </c>
      <c r="D2157" t="inlineStr">
        <is>
          <t>VÄSTRA GÖTALANDS LÄN</t>
        </is>
      </c>
      <c r="E2157" t="inlineStr">
        <is>
          <t>SKÖVDE</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15384-2019</t>
        </is>
      </c>
      <c r="B2158" s="1" t="n">
        <v>43542</v>
      </c>
      <c r="C2158" s="1" t="n">
        <v>45227</v>
      </c>
      <c r="D2158" t="inlineStr">
        <is>
          <t>VÄSTRA GÖTALANDS LÄN</t>
        </is>
      </c>
      <c r="E2158" t="inlineStr">
        <is>
          <t>TRANEMO</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15529-2019</t>
        </is>
      </c>
      <c r="B2159" s="1" t="n">
        <v>43542</v>
      </c>
      <c r="C2159" s="1" t="n">
        <v>45227</v>
      </c>
      <c r="D2159" t="inlineStr">
        <is>
          <t>VÄSTRA GÖTALANDS LÄN</t>
        </is>
      </c>
      <c r="E2159" t="inlineStr">
        <is>
          <t>GÖTENE</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15555-2019</t>
        </is>
      </c>
      <c r="B2160" s="1" t="n">
        <v>43542</v>
      </c>
      <c r="C2160" s="1" t="n">
        <v>45227</v>
      </c>
      <c r="D2160" t="inlineStr">
        <is>
          <t>VÄSTRA GÖTALANDS LÄN</t>
        </is>
      </c>
      <c r="E2160" t="inlineStr">
        <is>
          <t>VÄNERSBORG</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15686-2019</t>
        </is>
      </c>
      <c r="B2161" s="1" t="n">
        <v>43542</v>
      </c>
      <c r="C2161" s="1" t="n">
        <v>45227</v>
      </c>
      <c r="D2161" t="inlineStr">
        <is>
          <t>VÄSTRA GÖTALANDS LÄN</t>
        </is>
      </c>
      <c r="E2161" t="inlineStr">
        <is>
          <t>FALKÖPING</t>
        </is>
      </c>
      <c r="G2161" t="n">
        <v>6.2</v>
      </c>
      <c r="H2161" t="n">
        <v>0</v>
      </c>
      <c r="I2161" t="n">
        <v>0</v>
      </c>
      <c r="J2161" t="n">
        <v>0</v>
      </c>
      <c r="K2161" t="n">
        <v>0</v>
      </c>
      <c r="L2161" t="n">
        <v>0</v>
      </c>
      <c r="M2161" t="n">
        <v>0</v>
      </c>
      <c r="N2161" t="n">
        <v>0</v>
      </c>
      <c r="O2161" t="n">
        <v>0</v>
      </c>
      <c r="P2161" t="n">
        <v>0</v>
      </c>
      <c r="Q2161" t="n">
        <v>0</v>
      </c>
      <c r="R2161" s="2" t="inlineStr"/>
    </row>
    <row r="2162" ht="15" customHeight="1">
      <c r="A2162" t="inlineStr">
        <is>
          <t>A 15744-2019</t>
        </is>
      </c>
      <c r="B2162" s="1" t="n">
        <v>43542</v>
      </c>
      <c r="C2162" s="1" t="n">
        <v>45227</v>
      </c>
      <c r="D2162" t="inlineStr">
        <is>
          <t>VÄSTRA GÖTALANDS LÄN</t>
        </is>
      </c>
      <c r="E2162" t="inlineStr">
        <is>
          <t>MELLERUD</t>
        </is>
      </c>
      <c r="G2162" t="n">
        <v>5.1</v>
      </c>
      <c r="H2162" t="n">
        <v>0</v>
      </c>
      <c r="I2162" t="n">
        <v>0</v>
      </c>
      <c r="J2162" t="n">
        <v>0</v>
      </c>
      <c r="K2162" t="n">
        <v>0</v>
      </c>
      <c r="L2162" t="n">
        <v>0</v>
      </c>
      <c r="M2162" t="n">
        <v>0</v>
      </c>
      <c r="N2162" t="n">
        <v>0</v>
      </c>
      <c r="O2162" t="n">
        <v>0</v>
      </c>
      <c r="P2162" t="n">
        <v>0</v>
      </c>
      <c r="Q2162" t="n">
        <v>0</v>
      </c>
      <c r="R2162" s="2" t="inlineStr"/>
    </row>
    <row r="2163" ht="15" customHeight="1">
      <c r="A2163" t="inlineStr">
        <is>
          <t>A 15782-2019</t>
        </is>
      </c>
      <c r="B2163" s="1" t="n">
        <v>43542</v>
      </c>
      <c r="C2163" s="1" t="n">
        <v>45227</v>
      </c>
      <c r="D2163" t="inlineStr">
        <is>
          <t>VÄSTRA GÖTALANDS LÄN</t>
        </is>
      </c>
      <c r="E2163" t="inlineStr">
        <is>
          <t>SOTENÄS</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15823-2019</t>
        </is>
      </c>
      <c r="B2164" s="1" t="n">
        <v>43542</v>
      </c>
      <c r="C2164" s="1" t="n">
        <v>45227</v>
      </c>
      <c r="D2164" t="inlineStr">
        <is>
          <t>VÄSTRA GÖTALANDS LÄN</t>
        </is>
      </c>
      <c r="E2164" t="inlineStr">
        <is>
          <t>ULRICEHAMN</t>
        </is>
      </c>
      <c r="G2164" t="n">
        <v>7</v>
      </c>
      <c r="H2164" t="n">
        <v>0</v>
      </c>
      <c r="I2164" t="n">
        <v>0</v>
      </c>
      <c r="J2164" t="n">
        <v>0</v>
      </c>
      <c r="K2164" t="n">
        <v>0</v>
      </c>
      <c r="L2164" t="n">
        <v>0</v>
      </c>
      <c r="M2164" t="n">
        <v>0</v>
      </c>
      <c r="N2164" t="n">
        <v>0</v>
      </c>
      <c r="O2164" t="n">
        <v>0</v>
      </c>
      <c r="P2164" t="n">
        <v>0</v>
      </c>
      <c r="Q2164" t="n">
        <v>0</v>
      </c>
      <c r="R2164" s="2" t="inlineStr"/>
    </row>
    <row r="2165" ht="15" customHeight="1">
      <c r="A2165" t="inlineStr">
        <is>
          <t>A 15295-2019</t>
        </is>
      </c>
      <c r="B2165" s="1" t="n">
        <v>43542</v>
      </c>
      <c r="C2165" s="1" t="n">
        <v>45227</v>
      </c>
      <c r="D2165" t="inlineStr">
        <is>
          <t>VÄSTRA GÖTALANDS LÄN</t>
        </is>
      </c>
      <c r="E2165" t="inlineStr">
        <is>
          <t>SVENLJUNGA</t>
        </is>
      </c>
      <c r="G2165" t="n">
        <v>8.699999999999999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15409-2019</t>
        </is>
      </c>
      <c r="B2166" s="1" t="n">
        <v>43542</v>
      </c>
      <c r="C2166" s="1" t="n">
        <v>45227</v>
      </c>
      <c r="D2166" t="inlineStr">
        <is>
          <t>VÄSTRA GÖTALANDS LÄN</t>
        </is>
      </c>
      <c r="E2166" t="inlineStr">
        <is>
          <t>MARK</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15443-2019</t>
        </is>
      </c>
      <c r="B2167" s="1" t="n">
        <v>43542</v>
      </c>
      <c r="C2167" s="1" t="n">
        <v>45227</v>
      </c>
      <c r="D2167" t="inlineStr">
        <is>
          <t>VÄSTRA GÖTALANDS LÄN</t>
        </is>
      </c>
      <c r="E2167" t="inlineStr">
        <is>
          <t>ALE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15558-2019</t>
        </is>
      </c>
      <c r="B2168" s="1" t="n">
        <v>43542</v>
      </c>
      <c r="C2168" s="1" t="n">
        <v>45227</v>
      </c>
      <c r="D2168" t="inlineStr">
        <is>
          <t>VÄSTRA GÖTALANDS LÄN</t>
        </is>
      </c>
      <c r="E2168" t="inlineStr">
        <is>
          <t>BOLLEBYGD</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15741-2019</t>
        </is>
      </c>
      <c r="B2169" s="1" t="n">
        <v>43542</v>
      </c>
      <c r="C2169" s="1" t="n">
        <v>45227</v>
      </c>
      <c r="D2169" t="inlineStr">
        <is>
          <t>VÄSTRA GÖTALANDS LÄN</t>
        </is>
      </c>
      <c r="E2169" t="inlineStr">
        <is>
          <t>MELLERUD</t>
        </is>
      </c>
      <c r="G2169" t="n">
        <v>9.4</v>
      </c>
      <c r="H2169" t="n">
        <v>0</v>
      </c>
      <c r="I2169" t="n">
        <v>0</v>
      </c>
      <c r="J2169" t="n">
        <v>0</v>
      </c>
      <c r="K2169" t="n">
        <v>0</v>
      </c>
      <c r="L2169" t="n">
        <v>0</v>
      </c>
      <c r="M2169" t="n">
        <v>0</v>
      </c>
      <c r="N2169" t="n">
        <v>0</v>
      </c>
      <c r="O2169" t="n">
        <v>0</v>
      </c>
      <c r="P2169" t="n">
        <v>0</v>
      </c>
      <c r="Q2169" t="n">
        <v>0</v>
      </c>
      <c r="R2169" s="2" t="inlineStr"/>
    </row>
    <row r="2170" ht="15" customHeight="1">
      <c r="A2170" t="inlineStr">
        <is>
          <t>A 15802-2019</t>
        </is>
      </c>
      <c r="B2170" s="1" t="n">
        <v>43542</v>
      </c>
      <c r="C2170" s="1" t="n">
        <v>45227</v>
      </c>
      <c r="D2170" t="inlineStr">
        <is>
          <t>VÄSTRA GÖTALANDS LÄN</t>
        </is>
      </c>
      <c r="E2170" t="inlineStr">
        <is>
          <t>FALKÖPING</t>
        </is>
      </c>
      <c r="G2170" t="n">
        <v>2.8</v>
      </c>
      <c r="H2170" t="n">
        <v>0</v>
      </c>
      <c r="I2170" t="n">
        <v>0</v>
      </c>
      <c r="J2170" t="n">
        <v>0</v>
      </c>
      <c r="K2170" t="n">
        <v>0</v>
      </c>
      <c r="L2170" t="n">
        <v>0</v>
      </c>
      <c r="M2170" t="n">
        <v>0</v>
      </c>
      <c r="N2170" t="n">
        <v>0</v>
      </c>
      <c r="O2170" t="n">
        <v>0</v>
      </c>
      <c r="P2170" t="n">
        <v>0</v>
      </c>
      <c r="Q2170" t="n">
        <v>0</v>
      </c>
      <c r="R2170" s="2" t="inlineStr"/>
    </row>
    <row r="2171" ht="15" customHeight="1">
      <c r="A2171" t="inlineStr">
        <is>
          <t>A 15601-2019</t>
        </is>
      </c>
      <c r="B2171" s="1" t="n">
        <v>43543</v>
      </c>
      <c r="C2171" s="1" t="n">
        <v>45227</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15636-2019</t>
        </is>
      </c>
      <c r="B2172" s="1" t="n">
        <v>43543</v>
      </c>
      <c r="C2172" s="1" t="n">
        <v>45227</v>
      </c>
      <c r="D2172" t="inlineStr">
        <is>
          <t>VÄSTRA GÖTALANDS LÄN</t>
        </is>
      </c>
      <c r="E2172" t="inlineStr">
        <is>
          <t>MARK</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15608-2019</t>
        </is>
      </c>
      <c r="B2173" s="1" t="n">
        <v>43543</v>
      </c>
      <c r="C2173" s="1" t="n">
        <v>45227</v>
      </c>
      <c r="D2173" t="inlineStr">
        <is>
          <t>VÄSTRA GÖTALANDS LÄN</t>
        </is>
      </c>
      <c r="E2173" t="inlineStr">
        <is>
          <t>GÖTENE</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15648-2019</t>
        </is>
      </c>
      <c r="B2174" s="1" t="n">
        <v>43543</v>
      </c>
      <c r="C2174" s="1" t="n">
        <v>45227</v>
      </c>
      <c r="D2174" t="inlineStr">
        <is>
          <t>VÄSTRA GÖTALANDS LÄN</t>
        </is>
      </c>
      <c r="E2174" t="inlineStr">
        <is>
          <t>FÄRGELANDA</t>
        </is>
      </c>
      <c r="G2174" t="n">
        <v>19.1</v>
      </c>
      <c r="H2174" t="n">
        <v>0</v>
      </c>
      <c r="I2174" t="n">
        <v>0</v>
      </c>
      <c r="J2174" t="n">
        <v>0</v>
      </c>
      <c r="K2174" t="n">
        <v>0</v>
      </c>
      <c r="L2174" t="n">
        <v>0</v>
      </c>
      <c r="M2174" t="n">
        <v>0</v>
      </c>
      <c r="N2174" t="n">
        <v>0</v>
      </c>
      <c r="O2174" t="n">
        <v>0</v>
      </c>
      <c r="P2174" t="n">
        <v>0</v>
      </c>
      <c r="Q2174" t="n">
        <v>0</v>
      </c>
      <c r="R2174" s="2" t="inlineStr"/>
    </row>
    <row r="2175" ht="15" customHeight="1">
      <c r="A2175" t="inlineStr">
        <is>
          <t>A 15771-2019</t>
        </is>
      </c>
      <c r="B2175" s="1" t="n">
        <v>43543</v>
      </c>
      <c r="C2175" s="1" t="n">
        <v>45227</v>
      </c>
      <c r="D2175" t="inlineStr">
        <is>
          <t>VÄSTRA GÖTALANDS LÄN</t>
        </is>
      </c>
      <c r="E2175" t="inlineStr">
        <is>
          <t>SKARA</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15847-2019</t>
        </is>
      </c>
      <c r="B2176" s="1" t="n">
        <v>43543</v>
      </c>
      <c r="C2176" s="1" t="n">
        <v>45227</v>
      </c>
      <c r="D2176" t="inlineStr">
        <is>
          <t>VÄSTRA GÖTALANDS LÄN</t>
        </is>
      </c>
      <c r="E2176" t="inlineStr">
        <is>
          <t>TIDAHOLM</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15928-2019</t>
        </is>
      </c>
      <c r="B2177" s="1" t="n">
        <v>43543</v>
      </c>
      <c r="C2177" s="1" t="n">
        <v>45227</v>
      </c>
      <c r="D2177" t="inlineStr">
        <is>
          <t>VÄSTRA GÖTALANDS LÄN</t>
        </is>
      </c>
      <c r="E2177" t="inlineStr">
        <is>
          <t>GÖTENE</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15593-2019</t>
        </is>
      </c>
      <c r="B2178" s="1" t="n">
        <v>43543</v>
      </c>
      <c r="C2178" s="1" t="n">
        <v>45227</v>
      </c>
      <c r="D2178" t="inlineStr">
        <is>
          <t>VÄSTRA GÖTALANDS LÄN</t>
        </is>
      </c>
      <c r="E2178" t="inlineStr">
        <is>
          <t>GÖTENE</t>
        </is>
      </c>
      <c r="G2178" t="n">
        <v>6.8</v>
      </c>
      <c r="H2178" t="n">
        <v>0</v>
      </c>
      <c r="I2178" t="n">
        <v>0</v>
      </c>
      <c r="J2178" t="n">
        <v>0</v>
      </c>
      <c r="K2178" t="n">
        <v>0</v>
      </c>
      <c r="L2178" t="n">
        <v>0</v>
      </c>
      <c r="M2178" t="n">
        <v>0</v>
      </c>
      <c r="N2178" t="n">
        <v>0</v>
      </c>
      <c r="O2178" t="n">
        <v>0</v>
      </c>
      <c r="P2178" t="n">
        <v>0</v>
      </c>
      <c r="Q2178" t="n">
        <v>0</v>
      </c>
      <c r="R2178" s="2" t="inlineStr"/>
    </row>
    <row r="2179" ht="15" customHeight="1">
      <c r="A2179" t="inlineStr">
        <is>
          <t>A 15604-2019</t>
        </is>
      </c>
      <c r="B2179" s="1" t="n">
        <v>43543</v>
      </c>
      <c r="C2179" s="1" t="n">
        <v>45227</v>
      </c>
      <c r="D2179" t="inlineStr">
        <is>
          <t>VÄSTRA GÖTALANDS LÄN</t>
        </is>
      </c>
      <c r="E2179" t="inlineStr">
        <is>
          <t>GÖTENE</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15674-2019</t>
        </is>
      </c>
      <c r="B2180" s="1" t="n">
        <v>43543</v>
      </c>
      <c r="C2180" s="1" t="n">
        <v>45227</v>
      </c>
      <c r="D2180" t="inlineStr">
        <is>
          <t>VÄSTRA GÖTALANDS LÄN</t>
        </is>
      </c>
      <c r="E2180" t="inlineStr">
        <is>
          <t>TÖREBODA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15759-2019</t>
        </is>
      </c>
      <c r="B2181" s="1" t="n">
        <v>43543</v>
      </c>
      <c r="C2181" s="1" t="n">
        <v>45227</v>
      </c>
      <c r="D2181" t="inlineStr">
        <is>
          <t>VÄSTRA GÖTALANDS LÄN</t>
        </is>
      </c>
      <c r="E2181" t="inlineStr">
        <is>
          <t>FALKÖPING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15717-2019</t>
        </is>
      </c>
      <c r="B2182" s="1" t="n">
        <v>43543</v>
      </c>
      <c r="C2182" s="1" t="n">
        <v>45227</v>
      </c>
      <c r="D2182" t="inlineStr">
        <is>
          <t>VÄSTRA GÖTALANDS LÄN</t>
        </is>
      </c>
      <c r="E2182" t="inlineStr">
        <is>
          <t>BORÅS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15933-2019</t>
        </is>
      </c>
      <c r="B2183" s="1" t="n">
        <v>43543</v>
      </c>
      <c r="C2183" s="1" t="n">
        <v>45227</v>
      </c>
      <c r="D2183" t="inlineStr">
        <is>
          <t>VÄSTRA GÖTALANDS LÄN</t>
        </is>
      </c>
      <c r="E2183" t="inlineStr">
        <is>
          <t>GÖTENE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15917-2019</t>
        </is>
      </c>
      <c r="B2184" s="1" t="n">
        <v>43544</v>
      </c>
      <c r="C2184" s="1" t="n">
        <v>45227</v>
      </c>
      <c r="D2184" t="inlineStr">
        <is>
          <t>VÄSTRA GÖTALANDS LÄN</t>
        </is>
      </c>
      <c r="E2184" t="inlineStr">
        <is>
          <t>TIDAHOLM</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15935-2019</t>
        </is>
      </c>
      <c r="B2185" s="1" t="n">
        <v>43544</v>
      </c>
      <c r="C2185" s="1" t="n">
        <v>45227</v>
      </c>
      <c r="D2185" t="inlineStr">
        <is>
          <t>VÄSTRA GÖTALANDS LÄN</t>
        </is>
      </c>
      <c r="E2185" t="inlineStr">
        <is>
          <t>SVENLJUNGA</t>
        </is>
      </c>
      <c r="F2185" t="inlineStr">
        <is>
          <t>Sveaskog</t>
        </is>
      </c>
      <c r="G2185" t="n">
        <v>6.3</v>
      </c>
      <c r="H2185" t="n">
        <v>0</v>
      </c>
      <c r="I2185" t="n">
        <v>0</v>
      </c>
      <c r="J2185" t="n">
        <v>0</v>
      </c>
      <c r="K2185" t="n">
        <v>0</v>
      </c>
      <c r="L2185" t="n">
        <v>0</v>
      </c>
      <c r="M2185" t="n">
        <v>0</v>
      </c>
      <c r="N2185" t="n">
        <v>0</v>
      </c>
      <c r="O2185" t="n">
        <v>0</v>
      </c>
      <c r="P2185" t="n">
        <v>0</v>
      </c>
      <c r="Q2185" t="n">
        <v>0</v>
      </c>
      <c r="R2185" s="2" t="inlineStr"/>
    </row>
    <row r="2186" ht="15" customHeight="1">
      <c r="A2186" t="inlineStr">
        <is>
          <t>A 16104-2019</t>
        </is>
      </c>
      <c r="B2186" s="1" t="n">
        <v>43544</v>
      </c>
      <c r="C2186" s="1" t="n">
        <v>45227</v>
      </c>
      <c r="D2186" t="inlineStr">
        <is>
          <t>VÄSTRA GÖTALANDS LÄN</t>
        </is>
      </c>
      <c r="E2186" t="inlineStr">
        <is>
          <t>TIDAHOLM</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16127-2019</t>
        </is>
      </c>
      <c r="B2187" s="1" t="n">
        <v>43544</v>
      </c>
      <c r="C2187" s="1" t="n">
        <v>45227</v>
      </c>
      <c r="D2187" t="inlineStr">
        <is>
          <t>VÄSTRA GÖTALANDS LÄN</t>
        </is>
      </c>
      <c r="E2187" t="inlineStr">
        <is>
          <t>MELLERUD</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16153-2019</t>
        </is>
      </c>
      <c r="B2188" s="1" t="n">
        <v>43544</v>
      </c>
      <c r="C2188" s="1" t="n">
        <v>45227</v>
      </c>
      <c r="D2188" t="inlineStr">
        <is>
          <t>VÄSTRA GÖTALANDS LÄN</t>
        </is>
      </c>
      <c r="E2188" t="inlineStr">
        <is>
          <t>BENGTSFORS</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15930-2019</t>
        </is>
      </c>
      <c r="B2189" s="1" t="n">
        <v>43544</v>
      </c>
      <c r="C2189" s="1" t="n">
        <v>45227</v>
      </c>
      <c r="D2189" t="inlineStr">
        <is>
          <t>VÄSTRA GÖTALANDS LÄN</t>
        </is>
      </c>
      <c r="E2189" t="inlineStr">
        <is>
          <t>SVENLJUNGA</t>
        </is>
      </c>
      <c r="F2189" t="inlineStr">
        <is>
          <t>Sveaskog</t>
        </is>
      </c>
      <c r="G2189" t="n">
        <v>2.5</v>
      </c>
      <c r="H2189" t="n">
        <v>0</v>
      </c>
      <c r="I2189" t="n">
        <v>0</v>
      </c>
      <c r="J2189" t="n">
        <v>0</v>
      </c>
      <c r="K2189" t="n">
        <v>0</v>
      </c>
      <c r="L2189" t="n">
        <v>0</v>
      </c>
      <c r="M2189" t="n">
        <v>0</v>
      </c>
      <c r="N2189" t="n">
        <v>0</v>
      </c>
      <c r="O2189" t="n">
        <v>0</v>
      </c>
      <c r="P2189" t="n">
        <v>0</v>
      </c>
      <c r="Q2189" t="n">
        <v>0</v>
      </c>
      <c r="R2189" s="2" t="inlineStr"/>
    </row>
    <row r="2190" ht="15" customHeight="1">
      <c r="A2190" t="inlineStr">
        <is>
          <t>A 15970-2019</t>
        </is>
      </c>
      <c r="B2190" s="1" t="n">
        <v>43544</v>
      </c>
      <c r="C2190" s="1" t="n">
        <v>45227</v>
      </c>
      <c r="D2190" t="inlineStr">
        <is>
          <t>VÄSTRA GÖTALANDS LÄN</t>
        </is>
      </c>
      <c r="E2190" t="inlineStr">
        <is>
          <t>SKÖVDE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15981-2019</t>
        </is>
      </c>
      <c r="B2191" s="1" t="n">
        <v>43544</v>
      </c>
      <c r="C2191" s="1" t="n">
        <v>45227</v>
      </c>
      <c r="D2191" t="inlineStr">
        <is>
          <t>VÄSTRA GÖTALANDS LÄN</t>
        </is>
      </c>
      <c r="E2191" t="inlineStr">
        <is>
          <t>GULLSPÅNG</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16082-2019</t>
        </is>
      </c>
      <c r="B2192" s="1" t="n">
        <v>43544</v>
      </c>
      <c r="C2192" s="1" t="n">
        <v>45227</v>
      </c>
      <c r="D2192" t="inlineStr">
        <is>
          <t>VÄSTRA GÖTALANDS LÄN</t>
        </is>
      </c>
      <c r="E2192" t="inlineStr">
        <is>
          <t>HÄRRYDA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16100-2019</t>
        </is>
      </c>
      <c r="B2193" s="1" t="n">
        <v>43544</v>
      </c>
      <c r="C2193" s="1" t="n">
        <v>45227</v>
      </c>
      <c r="D2193" t="inlineStr">
        <is>
          <t>VÄSTRA GÖTALANDS LÄN</t>
        </is>
      </c>
      <c r="E2193" t="inlineStr">
        <is>
          <t>BOLLEBYGD</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16125-2019</t>
        </is>
      </c>
      <c r="B2194" s="1" t="n">
        <v>43544</v>
      </c>
      <c r="C2194" s="1" t="n">
        <v>45227</v>
      </c>
      <c r="D2194" t="inlineStr">
        <is>
          <t>VÄSTRA GÖTALANDS LÄN</t>
        </is>
      </c>
      <c r="E2194" t="inlineStr">
        <is>
          <t>ÅMÅL</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16146-2019</t>
        </is>
      </c>
      <c r="B2195" s="1" t="n">
        <v>43544</v>
      </c>
      <c r="C2195" s="1" t="n">
        <v>45227</v>
      </c>
      <c r="D2195" t="inlineStr">
        <is>
          <t>VÄSTRA GÖTALANDS LÄN</t>
        </is>
      </c>
      <c r="E2195" t="inlineStr">
        <is>
          <t>BENGTSFORS</t>
        </is>
      </c>
      <c r="G2195" t="n">
        <v>19.4</v>
      </c>
      <c r="H2195" t="n">
        <v>0</v>
      </c>
      <c r="I2195" t="n">
        <v>0</v>
      </c>
      <c r="J2195" t="n">
        <v>0</v>
      </c>
      <c r="K2195" t="n">
        <v>0</v>
      </c>
      <c r="L2195" t="n">
        <v>0</v>
      </c>
      <c r="M2195" t="n">
        <v>0</v>
      </c>
      <c r="N2195" t="n">
        <v>0</v>
      </c>
      <c r="O2195" t="n">
        <v>0</v>
      </c>
      <c r="P2195" t="n">
        <v>0</v>
      </c>
      <c r="Q2195" t="n">
        <v>0</v>
      </c>
      <c r="R2195" s="2" t="inlineStr"/>
    </row>
    <row r="2196" ht="15" customHeight="1">
      <c r="A2196" t="inlineStr">
        <is>
          <t>A 16182-2019</t>
        </is>
      </c>
      <c r="B2196" s="1" t="n">
        <v>43544</v>
      </c>
      <c r="C2196" s="1" t="n">
        <v>45227</v>
      </c>
      <c r="D2196" t="inlineStr">
        <is>
          <t>VÄSTRA GÖTALANDS LÄN</t>
        </is>
      </c>
      <c r="E2196" t="inlineStr">
        <is>
          <t>BENGTSFORS</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15918-2019</t>
        </is>
      </c>
      <c r="B2197" s="1" t="n">
        <v>43544</v>
      </c>
      <c r="C2197" s="1" t="n">
        <v>45227</v>
      </c>
      <c r="D2197" t="inlineStr">
        <is>
          <t>VÄSTRA GÖTALANDS LÄN</t>
        </is>
      </c>
      <c r="E2197" t="inlineStr">
        <is>
          <t>KUNGÄLV</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15929-2019</t>
        </is>
      </c>
      <c r="B2198" s="1" t="n">
        <v>43544</v>
      </c>
      <c r="C2198" s="1" t="n">
        <v>45227</v>
      </c>
      <c r="D2198" t="inlineStr">
        <is>
          <t>VÄSTRA GÖTALANDS LÄN</t>
        </is>
      </c>
      <c r="E2198" t="inlineStr">
        <is>
          <t>MARIESTAD</t>
        </is>
      </c>
      <c r="F2198" t="inlineStr">
        <is>
          <t>Sveaskog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15937-2019</t>
        </is>
      </c>
      <c r="B2199" s="1" t="n">
        <v>43544</v>
      </c>
      <c r="C2199" s="1" t="n">
        <v>45227</v>
      </c>
      <c r="D2199" t="inlineStr">
        <is>
          <t>VÄSTRA GÖTALANDS LÄN</t>
        </is>
      </c>
      <c r="E2199" t="inlineStr">
        <is>
          <t>TIDAHOLM</t>
        </is>
      </c>
      <c r="F2199" t="inlineStr">
        <is>
          <t>Sveaskog</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16013-2019</t>
        </is>
      </c>
      <c r="B2200" s="1" t="n">
        <v>43544</v>
      </c>
      <c r="C2200" s="1" t="n">
        <v>45227</v>
      </c>
      <c r="D2200" t="inlineStr">
        <is>
          <t>VÄSTRA GÖTALANDS LÄN</t>
        </is>
      </c>
      <c r="E2200" t="inlineStr">
        <is>
          <t>DALS-ED</t>
        </is>
      </c>
      <c r="G2200" t="n">
        <v>9.300000000000001</v>
      </c>
      <c r="H2200" t="n">
        <v>0</v>
      </c>
      <c r="I2200" t="n">
        <v>0</v>
      </c>
      <c r="J2200" t="n">
        <v>0</v>
      </c>
      <c r="K2200" t="n">
        <v>0</v>
      </c>
      <c r="L2200" t="n">
        <v>0</v>
      </c>
      <c r="M2200" t="n">
        <v>0</v>
      </c>
      <c r="N2200" t="n">
        <v>0</v>
      </c>
      <c r="O2200" t="n">
        <v>0</v>
      </c>
      <c r="P2200" t="n">
        <v>0</v>
      </c>
      <c r="Q2200" t="n">
        <v>0</v>
      </c>
      <c r="R2200" s="2" t="inlineStr"/>
    </row>
    <row r="2201" ht="15" customHeight="1">
      <c r="A2201" t="inlineStr">
        <is>
          <t>A 16020-2019</t>
        </is>
      </c>
      <c r="B2201" s="1" t="n">
        <v>43544</v>
      </c>
      <c r="C2201" s="1" t="n">
        <v>45227</v>
      </c>
      <c r="D2201" t="inlineStr">
        <is>
          <t>VÄSTRA GÖTALANDS LÄN</t>
        </is>
      </c>
      <c r="E2201" t="inlineStr">
        <is>
          <t>MARIESTAD</t>
        </is>
      </c>
      <c r="G2201" t="n">
        <v>5.6</v>
      </c>
      <c r="H2201" t="n">
        <v>0</v>
      </c>
      <c r="I2201" t="n">
        <v>0</v>
      </c>
      <c r="J2201" t="n">
        <v>0</v>
      </c>
      <c r="K2201" t="n">
        <v>0</v>
      </c>
      <c r="L2201" t="n">
        <v>0</v>
      </c>
      <c r="M2201" t="n">
        <v>0</v>
      </c>
      <c r="N2201" t="n">
        <v>0</v>
      </c>
      <c r="O2201" t="n">
        <v>0</v>
      </c>
      <c r="P2201" t="n">
        <v>0</v>
      </c>
      <c r="Q2201" t="n">
        <v>0</v>
      </c>
      <c r="R2201" s="2" t="inlineStr"/>
    </row>
    <row r="2202" ht="15" customHeight="1">
      <c r="A2202" t="inlineStr">
        <is>
          <t>A 16037-2019</t>
        </is>
      </c>
      <c r="B2202" s="1" t="n">
        <v>43544</v>
      </c>
      <c r="C2202" s="1" t="n">
        <v>45227</v>
      </c>
      <c r="D2202" t="inlineStr">
        <is>
          <t>VÄSTRA GÖTALANDS LÄN</t>
        </is>
      </c>
      <c r="E2202" t="inlineStr">
        <is>
          <t>TRANEMO</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16065-2019</t>
        </is>
      </c>
      <c r="B2203" s="1" t="n">
        <v>43544</v>
      </c>
      <c r="C2203" s="1" t="n">
        <v>45227</v>
      </c>
      <c r="D2203" t="inlineStr">
        <is>
          <t>VÄSTRA GÖTALANDS LÄN</t>
        </is>
      </c>
      <c r="E2203" t="inlineStr">
        <is>
          <t>HÄRRYDA</t>
        </is>
      </c>
      <c r="G2203" t="n">
        <v>4.6</v>
      </c>
      <c r="H2203" t="n">
        <v>0</v>
      </c>
      <c r="I2203" t="n">
        <v>0</v>
      </c>
      <c r="J2203" t="n">
        <v>0</v>
      </c>
      <c r="K2203" t="n">
        <v>0</v>
      </c>
      <c r="L2203" t="n">
        <v>0</v>
      </c>
      <c r="M2203" t="n">
        <v>0</v>
      </c>
      <c r="N2203" t="n">
        <v>0</v>
      </c>
      <c r="O2203" t="n">
        <v>0</v>
      </c>
      <c r="P2203" t="n">
        <v>0</v>
      </c>
      <c r="Q2203" t="n">
        <v>0</v>
      </c>
      <c r="R2203" s="2" t="inlineStr"/>
    </row>
    <row r="2204" ht="15" customHeight="1">
      <c r="A2204" t="inlineStr">
        <is>
          <t>A 16166-2019</t>
        </is>
      </c>
      <c r="B2204" s="1" t="n">
        <v>43544</v>
      </c>
      <c r="C2204" s="1" t="n">
        <v>45227</v>
      </c>
      <c r="D2204" t="inlineStr">
        <is>
          <t>VÄSTRA GÖTALANDS LÄN</t>
        </is>
      </c>
      <c r="E2204" t="inlineStr">
        <is>
          <t>BENGTSFORS</t>
        </is>
      </c>
      <c r="G2204" t="n">
        <v>6.6</v>
      </c>
      <c r="H2204" t="n">
        <v>0</v>
      </c>
      <c r="I2204" t="n">
        <v>0</v>
      </c>
      <c r="J2204" t="n">
        <v>0</v>
      </c>
      <c r="K2204" t="n">
        <v>0</v>
      </c>
      <c r="L2204" t="n">
        <v>0</v>
      </c>
      <c r="M2204" t="n">
        <v>0</v>
      </c>
      <c r="N2204" t="n">
        <v>0</v>
      </c>
      <c r="O2204" t="n">
        <v>0</v>
      </c>
      <c r="P2204" t="n">
        <v>0</v>
      </c>
      <c r="Q2204" t="n">
        <v>0</v>
      </c>
      <c r="R2204" s="2" t="inlineStr"/>
    </row>
    <row r="2205" ht="15" customHeight="1">
      <c r="A2205" t="inlineStr">
        <is>
          <t>A 15934-2019</t>
        </is>
      </c>
      <c r="B2205" s="1" t="n">
        <v>43544</v>
      </c>
      <c r="C2205" s="1" t="n">
        <v>45227</v>
      </c>
      <c r="D2205" t="inlineStr">
        <is>
          <t>VÄSTRA GÖTALANDS LÄN</t>
        </is>
      </c>
      <c r="E2205" t="inlineStr">
        <is>
          <t>TIDAHOLM</t>
        </is>
      </c>
      <c r="F2205" t="inlineStr">
        <is>
          <t>Sveaskog</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16026-2019</t>
        </is>
      </c>
      <c r="B2206" s="1" t="n">
        <v>43544</v>
      </c>
      <c r="C2206" s="1" t="n">
        <v>45227</v>
      </c>
      <c r="D2206" t="inlineStr">
        <is>
          <t>VÄSTRA GÖTALANDS LÄN</t>
        </is>
      </c>
      <c r="E2206" t="inlineStr">
        <is>
          <t>BENGTSFORS</t>
        </is>
      </c>
      <c r="G2206" t="n">
        <v>3.5</v>
      </c>
      <c r="H2206" t="n">
        <v>0</v>
      </c>
      <c r="I2206" t="n">
        <v>0</v>
      </c>
      <c r="J2206" t="n">
        <v>0</v>
      </c>
      <c r="K2206" t="n">
        <v>0</v>
      </c>
      <c r="L2206" t="n">
        <v>0</v>
      </c>
      <c r="M2206" t="n">
        <v>0</v>
      </c>
      <c r="N2206" t="n">
        <v>0</v>
      </c>
      <c r="O2206" t="n">
        <v>0</v>
      </c>
      <c r="P2206" t="n">
        <v>0</v>
      </c>
      <c r="Q2206" t="n">
        <v>0</v>
      </c>
      <c r="R2206" s="2" t="inlineStr"/>
    </row>
    <row r="2207" ht="15" customHeight="1">
      <c r="A2207" t="inlineStr">
        <is>
          <t>A 16058-2019</t>
        </is>
      </c>
      <c r="B2207" s="1" t="n">
        <v>43544</v>
      </c>
      <c r="C2207" s="1" t="n">
        <v>45227</v>
      </c>
      <c r="D2207" t="inlineStr">
        <is>
          <t>VÄSTRA GÖTALANDS LÄN</t>
        </is>
      </c>
      <c r="E2207" t="inlineStr">
        <is>
          <t>BENGTSFORS</t>
        </is>
      </c>
      <c r="G2207" t="n">
        <v>7.5</v>
      </c>
      <c r="H2207" t="n">
        <v>0</v>
      </c>
      <c r="I2207" t="n">
        <v>0</v>
      </c>
      <c r="J2207" t="n">
        <v>0</v>
      </c>
      <c r="K2207" t="n">
        <v>0</v>
      </c>
      <c r="L2207" t="n">
        <v>0</v>
      </c>
      <c r="M2207" t="n">
        <v>0</v>
      </c>
      <c r="N2207" t="n">
        <v>0</v>
      </c>
      <c r="O2207" t="n">
        <v>0</v>
      </c>
      <c r="P2207" t="n">
        <v>0</v>
      </c>
      <c r="Q2207" t="n">
        <v>0</v>
      </c>
      <c r="R2207" s="2" t="inlineStr"/>
    </row>
    <row r="2208" ht="15" customHeight="1">
      <c r="A2208" t="inlineStr">
        <is>
          <t>A 16183-2019</t>
        </is>
      </c>
      <c r="B2208" s="1" t="n">
        <v>43544</v>
      </c>
      <c r="C2208" s="1" t="n">
        <v>45227</v>
      </c>
      <c r="D2208" t="inlineStr">
        <is>
          <t>VÄSTRA GÖTALANDS LÄN</t>
        </is>
      </c>
      <c r="E2208" t="inlineStr">
        <is>
          <t>BENGTSFORS</t>
        </is>
      </c>
      <c r="G2208" t="n">
        <v>4.4</v>
      </c>
      <c r="H2208" t="n">
        <v>0</v>
      </c>
      <c r="I2208" t="n">
        <v>0</v>
      </c>
      <c r="J2208" t="n">
        <v>0</v>
      </c>
      <c r="K2208" t="n">
        <v>0</v>
      </c>
      <c r="L2208" t="n">
        <v>0</v>
      </c>
      <c r="M2208" t="n">
        <v>0</v>
      </c>
      <c r="N2208" t="n">
        <v>0</v>
      </c>
      <c r="O2208" t="n">
        <v>0</v>
      </c>
      <c r="P2208" t="n">
        <v>0</v>
      </c>
      <c r="Q2208" t="n">
        <v>0</v>
      </c>
      <c r="R2208" s="2" t="inlineStr"/>
    </row>
    <row r="2209" ht="15" customHeight="1">
      <c r="A2209" t="inlineStr">
        <is>
          <t>A 16202-2019</t>
        </is>
      </c>
      <c r="B2209" s="1" t="n">
        <v>43545</v>
      </c>
      <c r="C2209" s="1" t="n">
        <v>45227</v>
      </c>
      <c r="D2209" t="inlineStr">
        <is>
          <t>VÄSTRA GÖTALANDS LÄN</t>
        </is>
      </c>
      <c r="E2209" t="inlineStr">
        <is>
          <t>LYSEKIL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16291-2019</t>
        </is>
      </c>
      <c r="B2210" s="1" t="n">
        <v>43545</v>
      </c>
      <c r="C2210" s="1" t="n">
        <v>45227</v>
      </c>
      <c r="D2210" t="inlineStr">
        <is>
          <t>VÄSTRA GÖTALANDS LÄN</t>
        </is>
      </c>
      <c r="E2210" t="inlineStr">
        <is>
          <t>VÄNERSBORG</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16223-2019</t>
        </is>
      </c>
      <c r="B2211" s="1" t="n">
        <v>43545</v>
      </c>
      <c r="C2211" s="1" t="n">
        <v>45227</v>
      </c>
      <c r="D2211" t="inlineStr">
        <is>
          <t>VÄSTRA GÖTALANDS LÄN</t>
        </is>
      </c>
      <c r="E2211" t="inlineStr">
        <is>
          <t>HJO</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16243-2019</t>
        </is>
      </c>
      <c r="B2212" s="1" t="n">
        <v>43545</v>
      </c>
      <c r="C2212" s="1" t="n">
        <v>45227</v>
      </c>
      <c r="D2212" t="inlineStr">
        <is>
          <t>VÄSTRA GÖTALANDS LÄN</t>
        </is>
      </c>
      <c r="E2212" t="inlineStr">
        <is>
          <t>UDDEVALLA</t>
        </is>
      </c>
      <c r="G2212" t="n">
        <v>4.9</v>
      </c>
      <c r="H2212" t="n">
        <v>0</v>
      </c>
      <c r="I2212" t="n">
        <v>0</v>
      </c>
      <c r="J2212" t="n">
        <v>0</v>
      </c>
      <c r="K2212" t="n">
        <v>0</v>
      </c>
      <c r="L2212" t="n">
        <v>0</v>
      </c>
      <c r="M2212" t="n">
        <v>0</v>
      </c>
      <c r="N2212" t="n">
        <v>0</v>
      </c>
      <c r="O2212" t="n">
        <v>0</v>
      </c>
      <c r="P2212" t="n">
        <v>0</v>
      </c>
      <c r="Q2212" t="n">
        <v>0</v>
      </c>
      <c r="R2212" s="2" t="inlineStr"/>
    </row>
    <row r="2213" ht="15" customHeight="1">
      <c r="A2213" t="inlineStr">
        <is>
          <t>A 16273-2019</t>
        </is>
      </c>
      <c r="B2213" s="1" t="n">
        <v>43545</v>
      </c>
      <c r="C2213" s="1" t="n">
        <v>45227</v>
      </c>
      <c r="D2213" t="inlineStr">
        <is>
          <t>VÄSTRA GÖTALANDS LÄN</t>
        </is>
      </c>
      <c r="E2213" t="inlineStr">
        <is>
          <t>HJO</t>
        </is>
      </c>
      <c r="F2213" t="inlineStr">
        <is>
          <t>Övriga Aktiebolag</t>
        </is>
      </c>
      <c r="G2213" t="n">
        <v>3.1</v>
      </c>
      <c r="H2213" t="n">
        <v>0</v>
      </c>
      <c r="I2213" t="n">
        <v>0</v>
      </c>
      <c r="J2213" t="n">
        <v>0</v>
      </c>
      <c r="K2213" t="n">
        <v>0</v>
      </c>
      <c r="L2213" t="n">
        <v>0</v>
      </c>
      <c r="M2213" t="n">
        <v>0</v>
      </c>
      <c r="N2213" t="n">
        <v>0</v>
      </c>
      <c r="O2213" t="n">
        <v>0</v>
      </c>
      <c r="P2213" t="n">
        <v>0</v>
      </c>
      <c r="Q2213" t="n">
        <v>0</v>
      </c>
      <c r="R2213" s="2" t="inlineStr"/>
    </row>
    <row r="2214" ht="15" customHeight="1">
      <c r="A2214" t="inlineStr">
        <is>
          <t>A 16316-2019</t>
        </is>
      </c>
      <c r="B2214" s="1" t="n">
        <v>43545</v>
      </c>
      <c r="C2214" s="1" t="n">
        <v>45227</v>
      </c>
      <c r="D2214" t="inlineStr">
        <is>
          <t>VÄSTRA GÖTALANDS LÄN</t>
        </is>
      </c>
      <c r="E2214" t="inlineStr">
        <is>
          <t>MARIESTAD</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16190-2019</t>
        </is>
      </c>
      <c r="B2215" s="1" t="n">
        <v>43545</v>
      </c>
      <c r="C2215" s="1" t="n">
        <v>45227</v>
      </c>
      <c r="D2215" t="inlineStr">
        <is>
          <t>VÄSTRA GÖTALANDS LÄN</t>
        </is>
      </c>
      <c r="E2215" t="inlineStr">
        <is>
          <t>STRÖMSTAD</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16204-2019</t>
        </is>
      </c>
      <c r="B2216" s="1" t="n">
        <v>43545</v>
      </c>
      <c r="C2216" s="1" t="n">
        <v>45227</v>
      </c>
      <c r="D2216" t="inlineStr">
        <is>
          <t>VÄSTRA GÖTALANDS LÄN</t>
        </is>
      </c>
      <c r="E2216" t="inlineStr">
        <is>
          <t>TANUM</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16216-2019</t>
        </is>
      </c>
      <c r="B2217" s="1" t="n">
        <v>43545</v>
      </c>
      <c r="C2217" s="1" t="n">
        <v>45227</v>
      </c>
      <c r="D2217" t="inlineStr">
        <is>
          <t>VÄSTRA GÖTALANDS LÄN</t>
        </is>
      </c>
      <c r="E2217" t="inlineStr">
        <is>
          <t>FÄRGELANDA</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16241-2019</t>
        </is>
      </c>
      <c r="B2218" s="1" t="n">
        <v>43545</v>
      </c>
      <c r="C2218" s="1" t="n">
        <v>45227</v>
      </c>
      <c r="D2218" t="inlineStr">
        <is>
          <t>VÄSTRA GÖTALANDS LÄN</t>
        </is>
      </c>
      <c r="E2218" t="inlineStr">
        <is>
          <t>UDDEVALLA</t>
        </is>
      </c>
      <c r="G2218" t="n">
        <v>3.9</v>
      </c>
      <c r="H2218" t="n">
        <v>0</v>
      </c>
      <c r="I2218" t="n">
        <v>0</v>
      </c>
      <c r="J2218" t="n">
        <v>0</v>
      </c>
      <c r="K2218" t="n">
        <v>0</v>
      </c>
      <c r="L2218" t="n">
        <v>0</v>
      </c>
      <c r="M2218" t="n">
        <v>0</v>
      </c>
      <c r="N2218" t="n">
        <v>0</v>
      </c>
      <c r="O2218" t="n">
        <v>0</v>
      </c>
      <c r="P2218" t="n">
        <v>0</v>
      </c>
      <c r="Q2218" t="n">
        <v>0</v>
      </c>
      <c r="R2218" s="2" t="inlineStr"/>
    </row>
    <row r="2219" ht="15" customHeight="1">
      <c r="A2219" t="inlineStr">
        <is>
          <t>A 16400-2019</t>
        </is>
      </c>
      <c r="B2219" s="1" t="n">
        <v>43546</v>
      </c>
      <c r="C2219" s="1" t="n">
        <v>45227</v>
      </c>
      <c r="D2219" t="inlineStr">
        <is>
          <t>VÄSTRA GÖTALANDS LÄN</t>
        </is>
      </c>
      <c r="E2219" t="inlineStr">
        <is>
          <t>VARA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16404-2019</t>
        </is>
      </c>
      <c r="B2220" s="1" t="n">
        <v>43546</v>
      </c>
      <c r="C2220" s="1" t="n">
        <v>45227</v>
      </c>
      <c r="D2220" t="inlineStr">
        <is>
          <t>VÄSTRA GÖTALANDS LÄN</t>
        </is>
      </c>
      <c r="E2220" t="inlineStr">
        <is>
          <t>TANUM</t>
        </is>
      </c>
      <c r="G2220" t="n">
        <v>1</v>
      </c>
      <c r="H2220" t="n">
        <v>0</v>
      </c>
      <c r="I2220" t="n">
        <v>0</v>
      </c>
      <c r="J2220" t="n">
        <v>0</v>
      </c>
      <c r="K2220" t="n">
        <v>0</v>
      </c>
      <c r="L2220" t="n">
        <v>0</v>
      </c>
      <c r="M2220" t="n">
        <v>0</v>
      </c>
      <c r="N2220" t="n">
        <v>0</v>
      </c>
      <c r="O2220" t="n">
        <v>0</v>
      </c>
      <c r="P2220" t="n">
        <v>0</v>
      </c>
      <c r="Q2220" t="n">
        <v>0</v>
      </c>
      <c r="R2220" s="2" t="inlineStr"/>
    </row>
    <row r="2221" ht="15" customHeight="1">
      <c r="A2221" t="inlineStr">
        <is>
          <t>A 16471-2019</t>
        </is>
      </c>
      <c r="B2221" s="1" t="n">
        <v>43546</v>
      </c>
      <c r="C2221" s="1" t="n">
        <v>45227</v>
      </c>
      <c r="D2221" t="inlineStr">
        <is>
          <t>VÄSTRA GÖTALANDS LÄN</t>
        </is>
      </c>
      <c r="E2221" t="inlineStr">
        <is>
          <t>VÄNERSBORG</t>
        </is>
      </c>
      <c r="G2221" t="n">
        <v>5.9</v>
      </c>
      <c r="H2221" t="n">
        <v>0</v>
      </c>
      <c r="I2221" t="n">
        <v>0</v>
      </c>
      <c r="J2221" t="n">
        <v>0</v>
      </c>
      <c r="K2221" t="n">
        <v>0</v>
      </c>
      <c r="L2221" t="n">
        <v>0</v>
      </c>
      <c r="M2221" t="n">
        <v>0</v>
      </c>
      <c r="N2221" t="n">
        <v>0</v>
      </c>
      <c r="O2221" t="n">
        <v>0</v>
      </c>
      <c r="P2221" t="n">
        <v>0</v>
      </c>
      <c r="Q2221" t="n">
        <v>0</v>
      </c>
      <c r="R2221" s="2" t="inlineStr"/>
    </row>
    <row r="2222" ht="15" customHeight="1">
      <c r="A2222" t="inlineStr">
        <is>
          <t>A 16477-2019</t>
        </is>
      </c>
      <c r="B2222" s="1" t="n">
        <v>43546</v>
      </c>
      <c r="C2222" s="1" t="n">
        <v>45227</v>
      </c>
      <c r="D2222" t="inlineStr">
        <is>
          <t>VÄSTRA GÖTALANDS LÄN</t>
        </is>
      </c>
      <c r="E2222" t="inlineStr">
        <is>
          <t>SKÖVDE</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16420-2019</t>
        </is>
      </c>
      <c r="B2223" s="1" t="n">
        <v>43546</v>
      </c>
      <c r="C2223" s="1" t="n">
        <v>45227</v>
      </c>
      <c r="D2223" t="inlineStr">
        <is>
          <t>VÄSTRA GÖTALANDS LÄN</t>
        </is>
      </c>
      <c r="E2223" t="inlineStr">
        <is>
          <t>STRÖMSTAD</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16447-2019</t>
        </is>
      </c>
      <c r="B2224" s="1" t="n">
        <v>43546</v>
      </c>
      <c r="C2224" s="1" t="n">
        <v>45227</v>
      </c>
      <c r="D2224" t="inlineStr">
        <is>
          <t>VÄSTRA GÖTALANDS LÄN</t>
        </is>
      </c>
      <c r="E2224" t="inlineStr">
        <is>
          <t>HJO</t>
        </is>
      </c>
      <c r="G2224" t="n">
        <v>9.300000000000001</v>
      </c>
      <c r="H2224" t="n">
        <v>0</v>
      </c>
      <c r="I2224" t="n">
        <v>0</v>
      </c>
      <c r="J2224" t="n">
        <v>0</v>
      </c>
      <c r="K2224" t="n">
        <v>0</v>
      </c>
      <c r="L2224" t="n">
        <v>0</v>
      </c>
      <c r="M2224" t="n">
        <v>0</v>
      </c>
      <c r="N2224" t="n">
        <v>0</v>
      </c>
      <c r="O2224" t="n">
        <v>0</v>
      </c>
      <c r="P2224" t="n">
        <v>0</v>
      </c>
      <c r="Q2224" t="n">
        <v>0</v>
      </c>
      <c r="R2224" s="2" t="inlineStr"/>
    </row>
    <row r="2225" ht="15" customHeight="1">
      <c r="A2225" t="inlineStr">
        <is>
          <t>A 16474-2019</t>
        </is>
      </c>
      <c r="B2225" s="1" t="n">
        <v>43546</v>
      </c>
      <c r="C2225" s="1" t="n">
        <v>45227</v>
      </c>
      <c r="D2225" t="inlineStr">
        <is>
          <t>VÄSTRA GÖTALANDS LÄN</t>
        </is>
      </c>
      <c r="E2225" t="inlineStr">
        <is>
          <t>SKÖVDE</t>
        </is>
      </c>
      <c r="G2225" t="n">
        <v>5.2</v>
      </c>
      <c r="H2225" t="n">
        <v>0</v>
      </c>
      <c r="I2225" t="n">
        <v>0</v>
      </c>
      <c r="J2225" t="n">
        <v>0</v>
      </c>
      <c r="K2225" t="n">
        <v>0</v>
      </c>
      <c r="L2225" t="n">
        <v>0</v>
      </c>
      <c r="M2225" t="n">
        <v>0</v>
      </c>
      <c r="N2225" t="n">
        <v>0</v>
      </c>
      <c r="O2225" t="n">
        <v>0</v>
      </c>
      <c r="P2225" t="n">
        <v>0</v>
      </c>
      <c r="Q2225" t="n">
        <v>0</v>
      </c>
      <c r="R2225" s="2" t="inlineStr"/>
    </row>
    <row r="2226" ht="15" customHeight="1">
      <c r="A2226" t="inlineStr">
        <is>
          <t>A 16486-2019</t>
        </is>
      </c>
      <c r="B2226" s="1" t="n">
        <v>43546</v>
      </c>
      <c r="C2226" s="1" t="n">
        <v>45227</v>
      </c>
      <c r="D2226" t="inlineStr">
        <is>
          <t>VÄSTRA GÖTALANDS LÄN</t>
        </is>
      </c>
      <c r="E2226" t="inlineStr">
        <is>
          <t>ULRICEHAMN</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16597-2019</t>
        </is>
      </c>
      <c r="B2227" s="1" t="n">
        <v>43546</v>
      </c>
      <c r="C2227" s="1" t="n">
        <v>45227</v>
      </c>
      <c r="D2227" t="inlineStr">
        <is>
          <t>VÄSTRA GÖTALANDS LÄN</t>
        </is>
      </c>
      <c r="E2227" t="inlineStr">
        <is>
          <t>BORÅS</t>
        </is>
      </c>
      <c r="F2227" t="inlineStr">
        <is>
          <t>Kommuner</t>
        </is>
      </c>
      <c r="G2227" t="n">
        <v>4.5</v>
      </c>
      <c r="H2227" t="n">
        <v>0</v>
      </c>
      <c r="I2227" t="n">
        <v>0</v>
      </c>
      <c r="J2227" t="n">
        <v>0</v>
      </c>
      <c r="K2227" t="n">
        <v>0</v>
      </c>
      <c r="L2227" t="n">
        <v>0</v>
      </c>
      <c r="M2227" t="n">
        <v>0</v>
      </c>
      <c r="N2227" t="n">
        <v>0</v>
      </c>
      <c r="O2227" t="n">
        <v>0</v>
      </c>
      <c r="P2227" t="n">
        <v>0</v>
      </c>
      <c r="Q2227" t="n">
        <v>0</v>
      </c>
      <c r="R2227" s="2" t="inlineStr"/>
    </row>
    <row r="2228" ht="15" customHeight="1">
      <c r="A2228" t="inlineStr">
        <is>
          <t>A 16472-2019</t>
        </is>
      </c>
      <c r="B2228" s="1" t="n">
        <v>43546</v>
      </c>
      <c r="C2228" s="1" t="n">
        <v>45227</v>
      </c>
      <c r="D2228" t="inlineStr">
        <is>
          <t>VÄSTRA GÖTALANDS LÄN</t>
        </is>
      </c>
      <c r="E2228" t="inlineStr">
        <is>
          <t>LILLA EDET</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16532-2019</t>
        </is>
      </c>
      <c r="B2229" s="1" t="n">
        <v>43546</v>
      </c>
      <c r="C2229" s="1" t="n">
        <v>45227</v>
      </c>
      <c r="D2229" t="inlineStr">
        <is>
          <t>VÄSTRA GÖTALANDS LÄN</t>
        </is>
      </c>
      <c r="E2229" t="inlineStr">
        <is>
          <t>SKÖVDE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16657-2019</t>
        </is>
      </c>
      <c r="B2230" s="1" t="n">
        <v>43549</v>
      </c>
      <c r="C2230" s="1" t="n">
        <v>45227</v>
      </c>
      <c r="D2230" t="inlineStr">
        <is>
          <t>VÄSTRA GÖTALANDS LÄN</t>
        </is>
      </c>
      <c r="E2230" t="inlineStr">
        <is>
          <t>LILLA EDET</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16745-2019</t>
        </is>
      </c>
      <c r="B2231" s="1" t="n">
        <v>43549</v>
      </c>
      <c r="C2231" s="1" t="n">
        <v>45227</v>
      </c>
      <c r="D2231" t="inlineStr">
        <is>
          <t>VÄSTRA GÖTALANDS LÄN</t>
        </is>
      </c>
      <c r="E2231" t="inlineStr">
        <is>
          <t>DALS-ED</t>
        </is>
      </c>
      <c r="G2231" t="n">
        <v>1.5</v>
      </c>
      <c r="H2231" t="n">
        <v>0</v>
      </c>
      <c r="I2231" t="n">
        <v>0</v>
      </c>
      <c r="J2231" t="n">
        <v>0</v>
      </c>
      <c r="K2231" t="n">
        <v>0</v>
      </c>
      <c r="L2231" t="n">
        <v>0</v>
      </c>
      <c r="M2231" t="n">
        <v>0</v>
      </c>
      <c r="N2231" t="n">
        <v>0</v>
      </c>
      <c r="O2231" t="n">
        <v>0</v>
      </c>
      <c r="P2231" t="n">
        <v>0</v>
      </c>
      <c r="Q2231" t="n">
        <v>0</v>
      </c>
      <c r="R2231" s="2" t="inlineStr"/>
    </row>
    <row r="2232" ht="15" customHeight="1">
      <c r="A2232" t="inlineStr">
        <is>
          <t>A 16768-2019</t>
        </is>
      </c>
      <c r="B2232" s="1" t="n">
        <v>43549</v>
      </c>
      <c r="C2232" s="1" t="n">
        <v>45227</v>
      </c>
      <c r="D2232" t="inlineStr">
        <is>
          <t>VÄSTRA GÖTALANDS LÄN</t>
        </is>
      </c>
      <c r="E2232" t="inlineStr">
        <is>
          <t>DALS-ED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16779-2019</t>
        </is>
      </c>
      <c r="B2233" s="1" t="n">
        <v>43549</v>
      </c>
      <c r="C2233" s="1" t="n">
        <v>45227</v>
      </c>
      <c r="D2233" t="inlineStr">
        <is>
          <t>VÄSTRA GÖTALANDS LÄN</t>
        </is>
      </c>
      <c r="E2233" t="inlineStr">
        <is>
          <t>FÄRGELANDA</t>
        </is>
      </c>
      <c r="G2233" t="n">
        <v>5.6</v>
      </c>
      <c r="H2233" t="n">
        <v>0</v>
      </c>
      <c r="I2233" t="n">
        <v>0</v>
      </c>
      <c r="J2233" t="n">
        <v>0</v>
      </c>
      <c r="K2233" t="n">
        <v>0</v>
      </c>
      <c r="L2233" t="n">
        <v>0</v>
      </c>
      <c r="M2233" t="n">
        <v>0</v>
      </c>
      <c r="N2233" t="n">
        <v>0</v>
      </c>
      <c r="O2233" t="n">
        <v>0</v>
      </c>
      <c r="P2233" t="n">
        <v>0</v>
      </c>
      <c r="Q2233" t="n">
        <v>0</v>
      </c>
      <c r="R2233" s="2" t="inlineStr"/>
    </row>
    <row r="2234" ht="15" customHeight="1">
      <c r="A2234" t="inlineStr">
        <is>
          <t>A 16886-2019</t>
        </is>
      </c>
      <c r="B2234" s="1" t="n">
        <v>43549</v>
      </c>
      <c r="C2234" s="1" t="n">
        <v>45227</v>
      </c>
      <c r="D2234" t="inlineStr">
        <is>
          <t>VÄSTRA GÖTALANDS LÄN</t>
        </is>
      </c>
      <c r="E2234" t="inlineStr">
        <is>
          <t>MUNKEDAL</t>
        </is>
      </c>
      <c r="F2234" t="inlineStr">
        <is>
          <t>Kyrkan</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17138-2019</t>
        </is>
      </c>
      <c r="B2235" s="1" t="n">
        <v>43549</v>
      </c>
      <c r="C2235" s="1" t="n">
        <v>45227</v>
      </c>
      <c r="D2235" t="inlineStr">
        <is>
          <t>VÄSTRA GÖTALANDS LÄN</t>
        </is>
      </c>
      <c r="E2235" t="inlineStr">
        <is>
          <t>LYSEKIL</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16762-2019</t>
        </is>
      </c>
      <c r="B2236" s="1" t="n">
        <v>43549</v>
      </c>
      <c r="C2236" s="1" t="n">
        <v>45227</v>
      </c>
      <c r="D2236" t="inlineStr">
        <is>
          <t>VÄSTRA GÖTALANDS LÄN</t>
        </is>
      </c>
      <c r="E2236" t="inlineStr">
        <is>
          <t>STRÖMSTAD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16795-2019</t>
        </is>
      </c>
      <c r="B2237" s="1" t="n">
        <v>43549</v>
      </c>
      <c r="C2237" s="1" t="n">
        <v>45227</v>
      </c>
      <c r="D2237" t="inlineStr">
        <is>
          <t>VÄSTRA GÖTALANDS LÄN</t>
        </is>
      </c>
      <c r="E2237" t="inlineStr">
        <is>
          <t>MELLERUD</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16817-2019</t>
        </is>
      </c>
      <c r="B2238" s="1" t="n">
        <v>43549</v>
      </c>
      <c r="C2238" s="1" t="n">
        <v>45227</v>
      </c>
      <c r="D2238" t="inlineStr">
        <is>
          <t>VÄSTRA GÖTALANDS LÄN</t>
        </is>
      </c>
      <c r="E2238" t="inlineStr">
        <is>
          <t>ALINGSÅS</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16692-2019</t>
        </is>
      </c>
      <c r="B2239" s="1" t="n">
        <v>43549</v>
      </c>
      <c r="C2239" s="1" t="n">
        <v>45227</v>
      </c>
      <c r="D2239" t="inlineStr">
        <is>
          <t>VÄSTRA GÖTALANDS LÄN</t>
        </is>
      </c>
      <c r="E2239" t="inlineStr">
        <is>
          <t>GULLSPÅNG</t>
        </is>
      </c>
      <c r="G2239" t="n">
        <v>4.3</v>
      </c>
      <c r="H2239" t="n">
        <v>0</v>
      </c>
      <c r="I2239" t="n">
        <v>0</v>
      </c>
      <c r="J2239" t="n">
        <v>0</v>
      </c>
      <c r="K2239" t="n">
        <v>0</v>
      </c>
      <c r="L2239" t="n">
        <v>0</v>
      </c>
      <c r="M2239" t="n">
        <v>0</v>
      </c>
      <c r="N2239" t="n">
        <v>0</v>
      </c>
      <c r="O2239" t="n">
        <v>0</v>
      </c>
      <c r="P2239" t="n">
        <v>0</v>
      </c>
      <c r="Q2239" t="n">
        <v>0</v>
      </c>
      <c r="R2239" s="2" t="inlineStr"/>
    </row>
    <row r="2240" ht="15" customHeight="1">
      <c r="A2240" t="inlineStr">
        <is>
          <t>A 16721-2019</t>
        </is>
      </c>
      <c r="B2240" s="1" t="n">
        <v>43549</v>
      </c>
      <c r="C2240" s="1" t="n">
        <v>45227</v>
      </c>
      <c r="D2240" t="inlineStr">
        <is>
          <t>VÄSTRA GÖTALANDS LÄN</t>
        </is>
      </c>
      <c r="E2240" t="inlineStr">
        <is>
          <t>FÄRGELANDA</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16772-2019</t>
        </is>
      </c>
      <c r="B2241" s="1" t="n">
        <v>43549</v>
      </c>
      <c r="C2241" s="1" t="n">
        <v>45227</v>
      </c>
      <c r="D2241" t="inlineStr">
        <is>
          <t>VÄSTRA GÖTALANDS LÄN</t>
        </is>
      </c>
      <c r="E2241" t="inlineStr">
        <is>
          <t>MUNKEDAL</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16792-2019</t>
        </is>
      </c>
      <c r="B2242" s="1" t="n">
        <v>43549</v>
      </c>
      <c r="C2242" s="1" t="n">
        <v>45227</v>
      </c>
      <c r="D2242" t="inlineStr">
        <is>
          <t>VÄSTRA GÖTALANDS LÄN</t>
        </is>
      </c>
      <c r="E2242" t="inlineStr">
        <is>
          <t>FÄRGELANDA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17135-2019</t>
        </is>
      </c>
      <c r="B2243" s="1" t="n">
        <v>43549</v>
      </c>
      <c r="C2243" s="1" t="n">
        <v>45227</v>
      </c>
      <c r="D2243" t="inlineStr">
        <is>
          <t>VÄSTRA GÖTALANDS LÄN</t>
        </is>
      </c>
      <c r="E2243" t="inlineStr">
        <is>
          <t>LYSEKIL</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16729-2019</t>
        </is>
      </c>
      <c r="B2244" s="1" t="n">
        <v>43549</v>
      </c>
      <c r="C2244" s="1" t="n">
        <v>45227</v>
      </c>
      <c r="D2244" t="inlineStr">
        <is>
          <t>VÄSTRA GÖTALANDS LÄN</t>
        </is>
      </c>
      <c r="E2244" t="inlineStr">
        <is>
          <t>VARA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16786-2019</t>
        </is>
      </c>
      <c r="B2245" s="1" t="n">
        <v>43549</v>
      </c>
      <c r="C2245" s="1" t="n">
        <v>45227</v>
      </c>
      <c r="D2245" t="inlineStr">
        <is>
          <t>VÄSTRA GÖTALANDS LÄN</t>
        </is>
      </c>
      <c r="E2245" t="inlineStr">
        <is>
          <t>FÄRGELANDA</t>
        </is>
      </c>
      <c r="G2245" t="n">
        <v>5.1</v>
      </c>
      <c r="H2245" t="n">
        <v>0</v>
      </c>
      <c r="I2245" t="n">
        <v>0</v>
      </c>
      <c r="J2245" t="n">
        <v>0</v>
      </c>
      <c r="K2245" t="n">
        <v>0</v>
      </c>
      <c r="L2245" t="n">
        <v>0</v>
      </c>
      <c r="M2245" t="n">
        <v>0</v>
      </c>
      <c r="N2245" t="n">
        <v>0</v>
      </c>
      <c r="O2245" t="n">
        <v>0</v>
      </c>
      <c r="P2245" t="n">
        <v>0</v>
      </c>
      <c r="Q2245" t="n">
        <v>0</v>
      </c>
      <c r="R2245" s="2" t="inlineStr"/>
    </row>
    <row r="2246" ht="15" customHeight="1">
      <c r="A2246" t="inlineStr">
        <is>
          <t>A 16893-2019</t>
        </is>
      </c>
      <c r="B2246" s="1" t="n">
        <v>43549</v>
      </c>
      <c r="C2246" s="1" t="n">
        <v>45227</v>
      </c>
      <c r="D2246" t="inlineStr">
        <is>
          <t>VÄSTRA GÖTALANDS LÄN</t>
        </is>
      </c>
      <c r="E2246" t="inlineStr">
        <is>
          <t>TANUM</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17276-2019</t>
        </is>
      </c>
      <c r="B2247" s="1" t="n">
        <v>43549</v>
      </c>
      <c r="C2247" s="1" t="n">
        <v>45227</v>
      </c>
      <c r="D2247" t="inlineStr">
        <is>
          <t>VÄSTRA GÖTALANDS LÄN</t>
        </is>
      </c>
      <c r="E2247" t="inlineStr">
        <is>
          <t>MUNKEDAL</t>
        </is>
      </c>
      <c r="F2247" t="inlineStr">
        <is>
          <t>Övriga Aktiebolag</t>
        </is>
      </c>
      <c r="G2247" t="n">
        <v>19.1</v>
      </c>
      <c r="H2247" t="n">
        <v>0</v>
      </c>
      <c r="I2247" t="n">
        <v>0</v>
      </c>
      <c r="J2247" t="n">
        <v>0</v>
      </c>
      <c r="K2247" t="n">
        <v>0</v>
      </c>
      <c r="L2247" t="n">
        <v>0</v>
      </c>
      <c r="M2247" t="n">
        <v>0</v>
      </c>
      <c r="N2247" t="n">
        <v>0</v>
      </c>
      <c r="O2247" t="n">
        <v>0</v>
      </c>
      <c r="P2247" t="n">
        <v>0</v>
      </c>
      <c r="Q2247" t="n">
        <v>0</v>
      </c>
      <c r="R2247" s="2" t="inlineStr"/>
    </row>
    <row r="2248" ht="15" customHeight="1">
      <c r="A2248" t="inlineStr">
        <is>
          <t>A 17019-2019</t>
        </is>
      </c>
      <c r="B2248" s="1" t="n">
        <v>43550</v>
      </c>
      <c r="C2248" s="1" t="n">
        <v>45227</v>
      </c>
      <c r="D2248" t="inlineStr">
        <is>
          <t>VÄSTRA GÖTALANDS LÄN</t>
        </is>
      </c>
      <c r="E2248" t="inlineStr">
        <is>
          <t>VARA</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16927-2019</t>
        </is>
      </c>
      <c r="B2249" s="1" t="n">
        <v>43550</v>
      </c>
      <c r="C2249" s="1" t="n">
        <v>45227</v>
      </c>
      <c r="D2249" t="inlineStr">
        <is>
          <t>VÄSTRA GÖTALANDS LÄN</t>
        </is>
      </c>
      <c r="E2249" t="inlineStr">
        <is>
          <t>VÅRGÅRDA</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17024-2019</t>
        </is>
      </c>
      <c r="B2250" s="1" t="n">
        <v>43550</v>
      </c>
      <c r="C2250" s="1" t="n">
        <v>45227</v>
      </c>
      <c r="D2250" t="inlineStr">
        <is>
          <t>VÄSTRA GÖTALANDS LÄN</t>
        </is>
      </c>
      <c r="E2250" t="inlineStr">
        <is>
          <t>BENGTSFORS</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16940-2019</t>
        </is>
      </c>
      <c r="B2251" s="1" t="n">
        <v>43550</v>
      </c>
      <c r="C2251" s="1" t="n">
        <v>45227</v>
      </c>
      <c r="D2251" t="inlineStr">
        <is>
          <t>VÄSTRA GÖTALANDS LÄN</t>
        </is>
      </c>
      <c r="E2251" t="inlineStr">
        <is>
          <t>STENUNGSUND</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17238-2019</t>
        </is>
      </c>
      <c r="B2252" s="1" t="n">
        <v>43550</v>
      </c>
      <c r="C2252" s="1" t="n">
        <v>45227</v>
      </c>
      <c r="D2252" t="inlineStr">
        <is>
          <t>VÄSTRA GÖTALANDS LÄN</t>
        </is>
      </c>
      <c r="E2252" t="inlineStr">
        <is>
          <t>MUNKEDAL</t>
        </is>
      </c>
      <c r="F2252" t="inlineStr">
        <is>
          <t>Övriga Aktiebolag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17052-2019</t>
        </is>
      </c>
      <c r="B2253" s="1" t="n">
        <v>43551</v>
      </c>
      <c r="C2253" s="1" t="n">
        <v>45227</v>
      </c>
      <c r="D2253" t="inlineStr">
        <is>
          <t>VÄSTRA GÖTALANDS LÄN</t>
        </is>
      </c>
      <c r="E2253" t="inlineStr">
        <is>
          <t>BENGTSFORS</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17088-2019</t>
        </is>
      </c>
      <c r="B2254" s="1" t="n">
        <v>43551</v>
      </c>
      <c r="C2254" s="1" t="n">
        <v>45227</v>
      </c>
      <c r="D2254" t="inlineStr">
        <is>
          <t>VÄSTRA GÖTALANDS LÄN</t>
        </is>
      </c>
      <c r="E2254" t="inlineStr">
        <is>
          <t>DALS-ED</t>
        </is>
      </c>
      <c r="G2254" t="n">
        <v>5.9</v>
      </c>
      <c r="H2254" t="n">
        <v>0</v>
      </c>
      <c r="I2254" t="n">
        <v>0</v>
      </c>
      <c r="J2254" t="n">
        <v>0</v>
      </c>
      <c r="K2254" t="n">
        <v>0</v>
      </c>
      <c r="L2254" t="n">
        <v>0</v>
      </c>
      <c r="M2254" t="n">
        <v>0</v>
      </c>
      <c r="N2254" t="n">
        <v>0</v>
      </c>
      <c r="O2254" t="n">
        <v>0</v>
      </c>
      <c r="P2254" t="n">
        <v>0</v>
      </c>
      <c r="Q2254" t="n">
        <v>0</v>
      </c>
      <c r="R2254" s="2" t="inlineStr"/>
    </row>
    <row r="2255" ht="15" customHeight="1">
      <c r="A2255" t="inlineStr">
        <is>
          <t>A 17349-2019</t>
        </is>
      </c>
      <c r="B2255" s="1" t="n">
        <v>43551</v>
      </c>
      <c r="C2255" s="1" t="n">
        <v>45227</v>
      </c>
      <c r="D2255" t="inlineStr">
        <is>
          <t>VÄSTRA GÖTALANDS LÄN</t>
        </is>
      </c>
      <c r="E2255" t="inlineStr">
        <is>
          <t>VÅRGÅRDA</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17123-2019</t>
        </is>
      </c>
      <c r="B2256" s="1" t="n">
        <v>43551</v>
      </c>
      <c r="C2256" s="1" t="n">
        <v>45227</v>
      </c>
      <c r="D2256" t="inlineStr">
        <is>
          <t>VÄSTRA GÖTALANDS LÄN</t>
        </is>
      </c>
      <c r="E2256" t="inlineStr">
        <is>
          <t>TRANEMO</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17139-2019</t>
        </is>
      </c>
      <c r="B2257" s="1" t="n">
        <v>43551</v>
      </c>
      <c r="C2257" s="1" t="n">
        <v>45227</v>
      </c>
      <c r="D2257" t="inlineStr">
        <is>
          <t>VÄSTRA GÖTALANDS LÄN</t>
        </is>
      </c>
      <c r="E2257" t="inlineStr">
        <is>
          <t>TRANEMO</t>
        </is>
      </c>
      <c r="G2257" t="n">
        <v>10.6</v>
      </c>
      <c r="H2257" t="n">
        <v>0</v>
      </c>
      <c r="I2257" t="n">
        <v>0</v>
      </c>
      <c r="J2257" t="n">
        <v>0</v>
      </c>
      <c r="K2257" t="n">
        <v>0</v>
      </c>
      <c r="L2257" t="n">
        <v>0</v>
      </c>
      <c r="M2257" t="n">
        <v>0</v>
      </c>
      <c r="N2257" t="n">
        <v>0</v>
      </c>
      <c r="O2257" t="n">
        <v>0</v>
      </c>
      <c r="P2257" t="n">
        <v>0</v>
      </c>
      <c r="Q2257" t="n">
        <v>0</v>
      </c>
      <c r="R2257" s="2" t="inlineStr"/>
    </row>
    <row r="2258" ht="15" customHeight="1">
      <c r="A2258" t="inlineStr">
        <is>
          <t>A 17206-2019</t>
        </is>
      </c>
      <c r="B2258" s="1" t="n">
        <v>43551</v>
      </c>
      <c r="C2258" s="1" t="n">
        <v>45227</v>
      </c>
      <c r="D2258" t="inlineStr">
        <is>
          <t>VÄSTRA GÖTALANDS LÄN</t>
        </is>
      </c>
      <c r="E2258" t="inlineStr">
        <is>
          <t>GULLSPÅNG</t>
        </is>
      </c>
      <c r="G2258" t="n">
        <v>2.6</v>
      </c>
      <c r="H2258" t="n">
        <v>0</v>
      </c>
      <c r="I2258" t="n">
        <v>0</v>
      </c>
      <c r="J2258" t="n">
        <v>0</v>
      </c>
      <c r="K2258" t="n">
        <v>0</v>
      </c>
      <c r="L2258" t="n">
        <v>0</v>
      </c>
      <c r="M2258" t="n">
        <v>0</v>
      </c>
      <c r="N2258" t="n">
        <v>0</v>
      </c>
      <c r="O2258" t="n">
        <v>0</v>
      </c>
      <c r="P2258" t="n">
        <v>0</v>
      </c>
      <c r="Q2258" t="n">
        <v>0</v>
      </c>
      <c r="R2258" s="2" t="inlineStr"/>
    </row>
    <row r="2259" ht="15" customHeight="1">
      <c r="A2259" t="inlineStr">
        <is>
          <t>A 17050-2019</t>
        </is>
      </c>
      <c r="B2259" s="1" t="n">
        <v>43551</v>
      </c>
      <c r="C2259" s="1" t="n">
        <v>45227</v>
      </c>
      <c r="D2259" t="inlineStr">
        <is>
          <t>VÄSTRA GÖTALANDS LÄN</t>
        </is>
      </c>
      <c r="E2259" t="inlineStr">
        <is>
          <t>MARK</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17093-2019</t>
        </is>
      </c>
      <c r="B2260" s="1" t="n">
        <v>43551</v>
      </c>
      <c r="C2260" s="1" t="n">
        <v>45227</v>
      </c>
      <c r="D2260" t="inlineStr">
        <is>
          <t>VÄSTRA GÖTALANDS LÄN</t>
        </is>
      </c>
      <c r="E2260" t="inlineStr">
        <is>
          <t>DALS-ED</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17211-2019</t>
        </is>
      </c>
      <c r="B2261" s="1" t="n">
        <v>43552</v>
      </c>
      <c r="C2261" s="1" t="n">
        <v>45227</v>
      </c>
      <c r="D2261" t="inlineStr">
        <is>
          <t>VÄSTRA GÖTALANDS LÄN</t>
        </is>
      </c>
      <c r="E2261" t="inlineStr">
        <is>
          <t>VARA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17358-2019</t>
        </is>
      </c>
      <c r="B2262" s="1" t="n">
        <v>43552</v>
      </c>
      <c r="C2262" s="1" t="n">
        <v>45227</v>
      </c>
      <c r="D2262" t="inlineStr">
        <is>
          <t>VÄSTRA GÖTALANDS LÄN</t>
        </is>
      </c>
      <c r="E2262" t="inlineStr">
        <is>
          <t>ORUST</t>
        </is>
      </c>
      <c r="G2262" t="n">
        <v>3.1</v>
      </c>
      <c r="H2262" t="n">
        <v>0</v>
      </c>
      <c r="I2262" t="n">
        <v>0</v>
      </c>
      <c r="J2262" t="n">
        <v>0</v>
      </c>
      <c r="K2262" t="n">
        <v>0</v>
      </c>
      <c r="L2262" t="n">
        <v>0</v>
      </c>
      <c r="M2262" t="n">
        <v>0</v>
      </c>
      <c r="N2262" t="n">
        <v>0</v>
      </c>
      <c r="O2262" t="n">
        <v>0</v>
      </c>
      <c r="P2262" t="n">
        <v>0</v>
      </c>
      <c r="Q2262" t="n">
        <v>0</v>
      </c>
      <c r="R2262" s="2" t="inlineStr"/>
    </row>
    <row r="2263" ht="15" customHeight="1">
      <c r="A2263" t="inlineStr">
        <is>
          <t>A 18203-2019</t>
        </is>
      </c>
      <c r="B2263" s="1" t="n">
        <v>43552</v>
      </c>
      <c r="C2263" s="1" t="n">
        <v>45227</v>
      </c>
      <c r="D2263" t="inlineStr">
        <is>
          <t>VÄSTRA GÖTALANDS LÄN</t>
        </is>
      </c>
      <c r="E2263" t="inlineStr">
        <is>
          <t>BENGTSFORS</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17362-2019</t>
        </is>
      </c>
      <c r="B2264" s="1" t="n">
        <v>43552</v>
      </c>
      <c r="C2264" s="1" t="n">
        <v>45227</v>
      </c>
      <c r="D2264" t="inlineStr">
        <is>
          <t>VÄSTRA GÖTALANDS LÄN</t>
        </is>
      </c>
      <c r="E2264" t="inlineStr">
        <is>
          <t>FÄRGELANDA</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17880-2019</t>
        </is>
      </c>
      <c r="B2265" s="1" t="n">
        <v>43553</v>
      </c>
      <c r="C2265" s="1" t="n">
        <v>45227</v>
      </c>
      <c r="D2265" t="inlineStr">
        <is>
          <t>VÄSTRA GÖTALANDS LÄN</t>
        </is>
      </c>
      <c r="E2265" t="inlineStr">
        <is>
          <t>TANUM</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17451-2019</t>
        </is>
      </c>
      <c r="B2266" s="1" t="n">
        <v>43553</v>
      </c>
      <c r="C2266" s="1" t="n">
        <v>45227</v>
      </c>
      <c r="D2266" t="inlineStr">
        <is>
          <t>VÄSTRA GÖTALANDS LÄN</t>
        </is>
      </c>
      <c r="E2266" t="inlineStr">
        <is>
          <t>DALS-ED</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17503-2019</t>
        </is>
      </c>
      <c r="B2267" s="1" t="n">
        <v>43553</v>
      </c>
      <c r="C2267" s="1" t="n">
        <v>45227</v>
      </c>
      <c r="D2267" t="inlineStr">
        <is>
          <t>VÄSTRA GÖTALANDS LÄN</t>
        </is>
      </c>
      <c r="E2267" t="inlineStr">
        <is>
          <t>TIDAHOLM</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17608-2019</t>
        </is>
      </c>
      <c r="B2268" s="1" t="n">
        <v>43554</v>
      </c>
      <c r="C2268" s="1" t="n">
        <v>45227</v>
      </c>
      <c r="D2268" t="inlineStr">
        <is>
          <t>VÄSTRA GÖTALANDS LÄN</t>
        </is>
      </c>
      <c r="E2268" t="inlineStr">
        <is>
          <t>SVENLJUNGA</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17607-2019</t>
        </is>
      </c>
      <c r="B2269" s="1" t="n">
        <v>43554</v>
      </c>
      <c r="C2269" s="1" t="n">
        <v>45227</v>
      </c>
      <c r="D2269" t="inlineStr">
        <is>
          <t>VÄSTRA GÖTALANDS LÄN</t>
        </is>
      </c>
      <c r="E2269" t="inlineStr">
        <is>
          <t>SVENLJUNGA</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17609-2019</t>
        </is>
      </c>
      <c r="B2270" s="1" t="n">
        <v>43554</v>
      </c>
      <c r="C2270" s="1" t="n">
        <v>45227</v>
      </c>
      <c r="D2270" t="inlineStr">
        <is>
          <t>VÄSTRA GÖTALANDS LÄN</t>
        </is>
      </c>
      <c r="E2270" t="inlineStr">
        <is>
          <t>SVENLJUNGA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17598-2019</t>
        </is>
      </c>
      <c r="B2271" s="1" t="n">
        <v>43554</v>
      </c>
      <c r="C2271" s="1" t="n">
        <v>45227</v>
      </c>
      <c r="D2271" t="inlineStr">
        <is>
          <t>VÄSTRA GÖTALANDS LÄN</t>
        </is>
      </c>
      <c r="E2271" t="inlineStr">
        <is>
          <t>TIDAHOLM</t>
        </is>
      </c>
      <c r="G2271" t="n">
        <v>6.8</v>
      </c>
      <c r="H2271" t="n">
        <v>0</v>
      </c>
      <c r="I2271" t="n">
        <v>0</v>
      </c>
      <c r="J2271" t="n">
        <v>0</v>
      </c>
      <c r="K2271" t="n">
        <v>0</v>
      </c>
      <c r="L2271" t="n">
        <v>0</v>
      </c>
      <c r="M2271" t="n">
        <v>0</v>
      </c>
      <c r="N2271" t="n">
        <v>0</v>
      </c>
      <c r="O2271" t="n">
        <v>0</v>
      </c>
      <c r="P2271" t="n">
        <v>0</v>
      </c>
      <c r="Q2271" t="n">
        <v>0</v>
      </c>
      <c r="R2271" s="2" t="inlineStr"/>
    </row>
    <row r="2272" ht="15" customHeight="1">
      <c r="A2272" t="inlineStr">
        <is>
          <t>A 17641-2019</t>
        </is>
      </c>
      <c r="B2272" s="1" t="n">
        <v>43556</v>
      </c>
      <c r="C2272" s="1" t="n">
        <v>45227</v>
      </c>
      <c r="D2272" t="inlineStr">
        <is>
          <t>VÄSTRA GÖTALANDS LÄN</t>
        </is>
      </c>
      <c r="E2272" t="inlineStr">
        <is>
          <t>ULRICEHAMN</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17650-2019</t>
        </is>
      </c>
      <c r="B2273" s="1" t="n">
        <v>43556</v>
      </c>
      <c r="C2273" s="1" t="n">
        <v>45227</v>
      </c>
      <c r="D2273" t="inlineStr">
        <is>
          <t>VÄSTRA GÖTALANDS LÄN</t>
        </is>
      </c>
      <c r="E2273" t="inlineStr">
        <is>
          <t>VÅRGÅRDA</t>
        </is>
      </c>
      <c r="F2273" t="inlineStr">
        <is>
          <t>Kyrkan</t>
        </is>
      </c>
      <c r="G2273" t="n">
        <v>3.6</v>
      </c>
      <c r="H2273" t="n">
        <v>0</v>
      </c>
      <c r="I2273" t="n">
        <v>0</v>
      </c>
      <c r="J2273" t="n">
        <v>0</v>
      </c>
      <c r="K2273" t="n">
        <v>0</v>
      </c>
      <c r="L2273" t="n">
        <v>0</v>
      </c>
      <c r="M2273" t="n">
        <v>0</v>
      </c>
      <c r="N2273" t="n">
        <v>0</v>
      </c>
      <c r="O2273" t="n">
        <v>0</v>
      </c>
      <c r="P2273" t="n">
        <v>0</v>
      </c>
      <c r="Q2273" t="n">
        <v>0</v>
      </c>
      <c r="R2273" s="2" t="inlineStr"/>
    </row>
    <row r="2274" ht="15" customHeight="1">
      <c r="A2274" t="inlineStr">
        <is>
          <t>A 17801-2019</t>
        </is>
      </c>
      <c r="B2274" s="1" t="n">
        <v>43556</v>
      </c>
      <c r="C2274" s="1" t="n">
        <v>45227</v>
      </c>
      <c r="D2274" t="inlineStr">
        <is>
          <t>VÄSTRA GÖTALANDS LÄN</t>
        </is>
      </c>
      <c r="E2274" t="inlineStr">
        <is>
          <t>BORÅS</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17958-2019</t>
        </is>
      </c>
      <c r="B2275" s="1" t="n">
        <v>43556</v>
      </c>
      <c r="C2275" s="1" t="n">
        <v>45227</v>
      </c>
      <c r="D2275" t="inlineStr">
        <is>
          <t>VÄSTRA GÖTALANDS LÄN</t>
        </is>
      </c>
      <c r="E2275" t="inlineStr">
        <is>
          <t>ÅMÅL</t>
        </is>
      </c>
      <c r="F2275" t="inlineStr">
        <is>
          <t>Kommuner</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17625-2019</t>
        </is>
      </c>
      <c r="B2276" s="1" t="n">
        <v>43556</v>
      </c>
      <c r="C2276" s="1" t="n">
        <v>45227</v>
      </c>
      <c r="D2276" t="inlineStr">
        <is>
          <t>VÄSTRA GÖTALANDS LÄN</t>
        </is>
      </c>
      <c r="E2276" t="inlineStr">
        <is>
          <t>UDDEVALLA</t>
        </is>
      </c>
      <c r="G2276" t="n">
        <v>2.2</v>
      </c>
      <c r="H2276" t="n">
        <v>0</v>
      </c>
      <c r="I2276" t="n">
        <v>0</v>
      </c>
      <c r="J2276" t="n">
        <v>0</v>
      </c>
      <c r="K2276" t="n">
        <v>0</v>
      </c>
      <c r="L2276" t="n">
        <v>0</v>
      </c>
      <c r="M2276" t="n">
        <v>0</v>
      </c>
      <c r="N2276" t="n">
        <v>0</v>
      </c>
      <c r="O2276" t="n">
        <v>0</v>
      </c>
      <c r="P2276" t="n">
        <v>0</v>
      </c>
      <c r="Q2276" t="n">
        <v>0</v>
      </c>
      <c r="R2276" s="2" t="inlineStr"/>
    </row>
    <row r="2277" ht="15" customHeight="1">
      <c r="A2277" t="inlineStr">
        <is>
          <t>A 17638-2019</t>
        </is>
      </c>
      <c r="B2277" s="1" t="n">
        <v>43556</v>
      </c>
      <c r="C2277" s="1" t="n">
        <v>45227</v>
      </c>
      <c r="D2277" t="inlineStr">
        <is>
          <t>VÄSTRA GÖTALANDS LÄN</t>
        </is>
      </c>
      <c r="E2277" t="inlineStr">
        <is>
          <t>ULRICEHAMN</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17649-2019</t>
        </is>
      </c>
      <c r="B2278" s="1" t="n">
        <v>43556</v>
      </c>
      <c r="C2278" s="1" t="n">
        <v>45227</v>
      </c>
      <c r="D2278" t="inlineStr">
        <is>
          <t>VÄSTRA GÖTALANDS LÄN</t>
        </is>
      </c>
      <c r="E2278" t="inlineStr">
        <is>
          <t>VÅRGÅRDA</t>
        </is>
      </c>
      <c r="F2278" t="inlineStr">
        <is>
          <t>Kyrkan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17734-2019</t>
        </is>
      </c>
      <c r="B2279" s="1" t="n">
        <v>43556</v>
      </c>
      <c r="C2279" s="1" t="n">
        <v>45227</v>
      </c>
      <c r="D2279" t="inlineStr">
        <is>
          <t>VÄSTRA GÖTALANDS LÄN</t>
        </is>
      </c>
      <c r="E2279" t="inlineStr">
        <is>
          <t>ALINGSÅS</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17765-2019</t>
        </is>
      </c>
      <c r="B2280" s="1" t="n">
        <v>43556</v>
      </c>
      <c r="C2280" s="1" t="n">
        <v>45227</v>
      </c>
      <c r="D2280" t="inlineStr">
        <is>
          <t>VÄSTRA GÖTALANDS LÄN</t>
        </is>
      </c>
      <c r="E2280" t="inlineStr">
        <is>
          <t>SKARA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17645-2019</t>
        </is>
      </c>
      <c r="B2281" s="1" t="n">
        <v>43556</v>
      </c>
      <c r="C2281" s="1" t="n">
        <v>45227</v>
      </c>
      <c r="D2281" t="inlineStr">
        <is>
          <t>VÄSTRA GÖTALANDS LÄN</t>
        </is>
      </c>
      <c r="E2281" t="inlineStr">
        <is>
          <t>VÅRGÅRDA</t>
        </is>
      </c>
      <c r="F2281" t="inlineStr">
        <is>
          <t>Kyrkan</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17687-2019</t>
        </is>
      </c>
      <c r="B2282" s="1" t="n">
        <v>43556</v>
      </c>
      <c r="C2282" s="1" t="n">
        <v>45227</v>
      </c>
      <c r="D2282" t="inlineStr">
        <is>
          <t>VÄSTRA GÖTALANDS LÄN</t>
        </is>
      </c>
      <c r="E2282" t="inlineStr">
        <is>
          <t>MARIESTAD</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17772-2019</t>
        </is>
      </c>
      <c r="B2283" s="1" t="n">
        <v>43556</v>
      </c>
      <c r="C2283" s="1" t="n">
        <v>45227</v>
      </c>
      <c r="D2283" t="inlineStr">
        <is>
          <t>VÄSTRA GÖTALANDS LÄN</t>
        </is>
      </c>
      <c r="E2283" t="inlineStr">
        <is>
          <t>BENGTSFORS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17866-2019</t>
        </is>
      </c>
      <c r="B2284" s="1" t="n">
        <v>43557</v>
      </c>
      <c r="C2284" s="1" t="n">
        <v>45227</v>
      </c>
      <c r="D2284" t="inlineStr">
        <is>
          <t>VÄSTRA GÖTALANDS LÄN</t>
        </is>
      </c>
      <c r="E2284" t="inlineStr">
        <is>
          <t>MELLERUD</t>
        </is>
      </c>
      <c r="G2284" t="n">
        <v>17.6</v>
      </c>
      <c r="H2284" t="n">
        <v>0</v>
      </c>
      <c r="I2284" t="n">
        <v>0</v>
      </c>
      <c r="J2284" t="n">
        <v>0</v>
      </c>
      <c r="K2284" t="n">
        <v>0</v>
      </c>
      <c r="L2284" t="n">
        <v>0</v>
      </c>
      <c r="M2284" t="n">
        <v>0</v>
      </c>
      <c r="N2284" t="n">
        <v>0</v>
      </c>
      <c r="O2284" t="n">
        <v>0</v>
      </c>
      <c r="P2284" t="n">
        <v>0</v>
      </c>
      <c r="Q2284" t="n">
        <v>0</v>
      </c>
      <c r="R2284" s="2" t="inlineStr"/>
    </row>
    <row r="2285" ht="15" customHeight="1">
      <c r="A2285" t="inlineStr">
        <is>
          <t>A 18371-2019</t>
        </is>
      </c>
      <c r="B2285" s="1" t="n">
        <v>43557</v>
      </c>
      <c r="C2285" s="1" t="n">
        <v>45227</v>
      </c>
      <c r="D2285" t="inlineStr">
        <is>
          <t>VÄSTRA GÖTALANDS LÄN</t>
        </is>
      </c>
      <c r="E2285" t="inlineStr">
        <is>
          <t>VARA</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17863-2019</t>
        </is>
      </c>
      <c r="B2286" s="1" t="n">
        <v>43557</v>
      </c>
      <c r="C2286" s="1" t="n">
        <v>45227</v>
      </c>
      <c r="D2286" t="inlineStr">
        <is>
          <t>VÄSTRA GÖTALANDS LÄN</t>
        </is>
      </c>
      <c r="E2286" t="inlineStr">
        <is>
          <t>MELLERUD</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17920-2019</t>
        </is>
      </c>
      <c r="B2287" s="1" t="n">
        <v>43557</v>
      </c>
      <c r="C2287" s="1" t="n">
        <v>45227</v>
      </c>
      <c r="D2287" t="inlineStr">
        <is>
          <t>VÄSTRA GÖTALANDS LÄN</t>
        </is>
      </c>
      <c r="E2287" t="inlineStr">
        <is>
          <t>KARLSBORG</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18062-2019</t>
        </is>
      </c>
      <c r="B2288" s="1" t="n">
        <v>43557</v>
      </c>
      <c r="C2288" s="1" t="n">
        <v>45227</v>
      </c>
      <c r="D2288" t="inlineStr">
        <is>
          <t>VÄSTRA GÖTALANDS LÄN</t>
        </is>
      </c>
      <c r="E2288" t="inlineStr">
        <is>
          <t>TIDAHOLM</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18387-2019</t>
        </is>
      </c>
      <c r="B2289" s="1" t="n">
        <v>43557</v>
      </c>
      <c r="C2289" s="1" t="n">
        <v>45227</v>
      </c>
      <c r="D2289" t="inlineStr">
        <is>
          <t>VÄSTRA GÖTALANDS LÄN</t>
        </is>
      </c>
      <c r="E2289" t="inlineStr">
        <is>
          <t>ÅMÅL</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17861-2019</t>
        </is>
      </c>
      <c r="B2290" s="1" t="n">
        <v>43557</v>
      </c>
      <c r="C2290" s="1" t="n">
        <v>45227</v>
      </c>
      <c r="D2290" t="inlineStr">
        <is>
          <t>VÄSTRA GÖTALANDS LÄN</t>
        </is>
      </c>
      <c r="E2290" t="inlineStr">
        <is>
          <t>MELLERUD</t>
        </is>
      </c>
      <c r="G2290" t="n">
        <v>12.9</v>
      </c>
      <c r="H2290" t="n">
        <v>0</v>
      </c>
      <c r="I2290" t="n">
        <v>0</v>
      </c>
      <c r="J2290" t="n">
        <v>0</v>
      </c>
      <c r="K2290" t="n">
        <v>0</v>
      </c>
      <c r="L2290" t="n">
        <v>0</v>
      </c>
      <c r="M2290" t="n">
        <v>0</v>
      </c>
      <c r="N2290" t="n">
        <v>0</v>
      </c>
      <c r="O2290" t="n">
        <v>0</v>
      </c>
      <c r="P2290" t="n">
        <v>0</v>
      </c>
      <c r="Q2290" t="n">
        <v>0</v>
      </c>
      <c r="R2290" s="2" t="inlineStr"/>
    </row>
    <row r="2291" ht="15" customHeight="1">
      <c r="A2291" t="inlineStr">
        <is>
          <t>A 18004-2019</t>
        </is>
      </c>
      <c r="B2291" s="1" t="n">
        <v>43557</v>
      </c>
      <c r="C2291" s="1" t="n">
        <v>45227</v>
      </c>
      <c r="D2291" t="inlineStr">
        <is>
          <t>VÄSTRA GÖTALANDS LÄN</t>
        </is>
      </c>
      <c r="E2291" t="inlineStr">
        <is>
          <t>FÄRGELANDA</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18080-2019</t>
        </is>
      </c>
      <c r="B2292" s="1" t="n">
        <v>43558</v>
      </c>
      <c r="C2292" s="1" t="n">
        <v>45227</v>
      </c>
      <c r="D2292" t="inlineStr">
        <is>
          <t>VÄSTRA GÖTALANDS LÄN</t>
        </is>
      </c>
      <c r="E2292" t="inlineStr">
        <is>
          <t>ALINGSÅS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18287-2019</t>
        </is>
      </c>
      <c r="B2293" s="1" t="n">
        <v>43558</v>
      </c>
      <c r="C2293" s="1" t="n">
        <v>45227</v>
      </c>
      <c r="D2293" t="inlineStr">
        <is>
          <t>VÄSTRA GÖTALANDS LÄN</t>
        </is>
      </c>
      <c r="E2293" t="inlineStr">
        <is>
          <t>FÄRGELANDA</t>
        </is>
      </c>
      <c r="G2293" t="n">
        <v>9.699999999999999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18125-2019</t>
        </is>
      </c>
      <c r="B2294" s="1" t="n">
        <v>43558</v>
      </c>
      <c r="C2294" s="1" t="n">
        <v>45227</v>
      </c>
      <c r="D2294" t="inlineStr">
        <is>
          <t>VÄSTRA GÖTALANDS LÄN</t>
        </is>
      </c>
      <c r="E2294" t="inlineStr">
        <is>
          <t>LYSEKIL</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18205-2019</t>
        </is>
      </c>
      <c r="B2295" s="1" t="n">
        <v>43558</v>
      </c>
      <c r="C2295" s="1" t="n">
        <v>45227</v>
      </c>
      <c r="D2295" t="inlineStr">
        <is>
          <t>VÄSTRA GÖTALANDS LÄN</t>
        </is>
      </c>
      <c r="E2295" t="inlineStr">
        <is>
          <t>SOTENÄS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18329-2019</t>
        </is>
      </c>
      <c r="B2296" s="1" t="n">
        <v>43558</v>
      </c>
      <c r="C2296" s="1" t="n">
        <v>45227</v>
      </c>
      <c r="D2296" t="inlineStr">
        <is>
          <t>VÄSTRA GÖTALANDS LÄN</t>
        </is>
      </c>
      <c r="E2296" t="inlineStr">
        <is>
          <t>DALS-ED</t>
        </is>
      </c>
      <c r="F2296" t="inlineStr">
        <is>
          <t>Kyrkan</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18154-2019</t>
        </is>
      </c>
      <c r="B2297" s="1" t="n">
        <v>43558</v>
      </c>
      <c r="C2297" s="1" t="n">
        <v>45227</v>
      </c>
      <c r="D2297" t="inlineStr">
        <is>
          <t>VÄSTRA GÖTALANDS LÄN</t>
        </is>
      </c>
      <c r="E2297" t="inlineStr">
        <is>
          <t>SVENLJUNGA</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18232-2019</t>
        </is>
      </c>
      <c r="B2298" s="1" t="n">
        <v>43558</v>
      </c>
      <c r="C2298" s="1" t="n">
        <v>45227</v>
      </c>
      <c r="D2298" t="inlineStr">
        <is>
          <t>VÄSTRA GÖTALANDS LÄN</t>
        </is>
      </c>
      <c r="E2298" t="inlineStr">
        <is>
          <t>BENGTSFORS</t>
        </is>
      </c>
      <c r="G2298" t="n">
        <v>12.7</v>
      </c>
      <c r="H2298" t="n">
        <v>0</v>
      </c>
      <c r="I2298" t="n">
        <v>0</v>
      </c>
      <c r="J2298" t="n">
        <v>0</v>
      </c>
      <c r="K2298" t="n">
        <v>0</v>
      </c>
      <c r="L2298" t="n">
        <v>0</v>
      </c>
      <c r="M2298" t="n">
        <v>0</v>
      </c>
      <c r="N2298" t="n">
        <v>0</v>
      </c>
      <c r="O2298" t="n">
        <v>0</v>
      </c>
      <c r="P2298" t="n">
        <v>0</v>
      </c>
      <c r="Q2298" t="n">
        <v>0</v>
      </c>
      <c r="R2298" s="2" t="inlineStr"/>
    </row>
    <row r="2299" ht="15" customHeight="1">
      <c r="A2299" t="inlineStr">
        <is>
          <t>A 18288-2019</t>
        </is>
      </c>
      <c r="B2299" s="1" t="n">
        <v>43558</v>
      </c>
      <c r="C2299" s="1" t="n">
        <v>45227</v>
      </c>
      <c r="D2299" t="inlineStr">
        <is>
          <t>VÄSTRA GÖTALANDS LÄN</t>
        </is>
      </c>
      <c r="E2299" t="inlineStr">
        <is>
          <t>FÄRGELANDA</t>
        </is>
      </c>
      <c r="G2299" t="n">
        <v>11.4</v>
      </c>
      <c r="H2299" t="n">
        <v>0</v>
      </c>
      <c r="I2299" t="n">
        <v>0</v>
      </c>
      <c r="J2299" t="n">
        <v>0</v>
      </c>
      <c r="K2299" t="n">
        <v>0</v>
      </c>
      <c r="L2299" t="n">
        <v>0</v>
      </c>
      <c r="M2299" t="n">
        <v>0</v>
      </c>
      <c r="N2299" t="n">
        <v>0</v>
      </c>
      <c r="O2299" t="n">
        <v>0</v>
      </c>
      <c r="P2299" t="n">
        <v>0</v>
      </c>
      <c r="Q2299" t="n">
        <v>0</v>
      </c>
      <c r="R2299" s="2" t="inlineStr"/>
    </row>
    <row r="2300" ht="15" customHeight="1">
      <c r="A2300" t="inlineStr">
        <is>
          <t>A 18128-2019</t>
        </is>
      </c>
      <c r="B2300" s="1" t="n">
        <v>43558</v>
      </c>
      <c r="C2300" s="1" t="n">
        <v>45227</v>
      </c>
      <c r="D2300" t="inlineStr">
        <is>
          <t>VÄSTRA GÖTALANDS LÄN</t>
        </is>
      </c>
      <c r="E2300" t="inlineStr">
        <is>
          <t>BORÅS</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18320-2019</t>
        </is>
      </c>
      <c r="B2301" s="1" t="n">
        <v>43559</v>
      </c>
      <c r="C2301" s="1" t="n">
        <v>45227</v>
      </c>
      <c r="D2301" t="inlineStr">
        <is>
          <t>VÄSTRA GÖTALANDS LÄN</t>
        </is>
      </c>
      <c r="E2301" t="inlineStr">
        <is>
          <t>SKARA</t>
        </is>
      </c>
      <c r="G2301" t="n">
        <v>1.7</v>
      </c>
      <c r="H2301" t="n">
        <v>0</v>
      </c>
      <c r="I2301" t="n">
        <v>0</v>
      </c>
      <c r="J2301" t="n">
        <v>0</v>
      </c>
      <c r="K2301" t="n">
        <v>0</v>
      </c>
      <c r="L2301" t="n">
        <v>0</v>
      </c>
      <c r="M2301" t="n">
        <v>0</v>
      </c>
      <c r="N2301" t="n">
        <v>0</v>
      </c>
      <c r="O2301" t="n">
        <v>0</v>
      </c>
      <c r="P2301" t="n">
        <v>0</v>
      </c>
      <c r="Q2301" t="n">
        <v>0</v>
      </c>
      <c r="R2301" s="2" t="inlineStr"/>
    </row>
    <row r="2302" ht="15" customHeight="1">
      <c r="A2302" t="inlineStr">
        <is>
          <t>A 18362-2019</t>
        </is>
      </c>
      <c r="B2302" s="1" t="n">
        <v>43559</v>
      </c>
      <c r="C2302" s="1" t="n">
        <v>45227</v>
      </c>
      <c r="D2302" t="inlineStr">
        <is>
          <t>VÄSTRA GÖTALANDS LÄN</t>
        </is>
      </c>
      <c r="E2302" t="inlineStr">
        <is>
          <t>MUNKEDAL</t>
        </is>
      </c>
      <c r="G2302" t="n">
        <v>0.3</v>
      </c>
      <c r="H2302" t="n">
        <v>0</v>
      </c>
      <c r="I2302" t="n">
        <v>0</v>
      </c>
      <c r="J2302" t="n">
        <v>0</v>
      </c>
      <c r="K2302" t="n">
        <v>0</v>
      </c>
      <c r="L2302" t="n">
        <v>0</v>
      </c>
      <c r="M2302" t="n">
        <v>0</v>
      </c>
      <c r="N2302" t="n">
        <v>0</v>
      </c>
      <c r="O2302" t="n">
        <v>0</v>
      </c>
      <c r="P2302" t="n">
        <v>0</v>
      </c>
      <c r="Q2302" t="n">
        <v>0</v>
      </c>
      <c r="R2302" s="2" t="inlineStr"/>
    </row>
    <row r="2303" ht="15" customHeight="1">
      <c r="A2303" t="inlineStr">
        <is>
          <t>A 18408-2019</t>
        </is>
      </c>
      <c r="B2303" s="1" t="n">
        <v>43559</v>
      </c>
      <c r="C2303" s="1" t="n">
        <v>45227</v>
      </c>
      <c r="D2303" t="inlineStr">
        <is>
          <t>VÄSTRA GÖTALANDS LÄN</t>
        </is>
      </c>
      <c r="E2303" t="inlineStr">
        <is>
          <t>TIBRO</t>
        </is>
      </c>
      <c r="F2303" t="inlineStr">
        <is>
          <t>Kommuner</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18444-2019</t>
        </is>
      </c>
      <c r="B2304" s="1" t="n">
        <v>43559</v>
      </c>
      <c r="C2304" s="1" t="n">
        <v>45227</v>
      </c>
      <c r="D2304" t="inlineStr">
        <is>
          <t>VÄSTRA GÖTALANDS LÄN</t>
        </is>
      </c>
      <c r="E2304" t="inlineStr">
        <is>
          <t>MARK</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18567-2019</t>
        </is>
      </c>
      <c r="B2305" s="1" t="n">
        <v>43559</v>
      </c>
      <c r="C2305" s="1" t="n">
        <v>45227</v>
      </c>
      <c r="D2305" t="inlineStr">
        <is>
          <t>VÄSTRA GÖTALANDS LÄN</t>
        </is>
      </c>
      <c r="E2305" t="inlineStr">
        <is>
          <t>SVENLJUNGA</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18458-2019</t>
        </is>
      </c>
      <c r="B2306" s="1" t="n">
        <v>43559</v>
      </c>
      <c r="C2306" s="1" t="n">
        <v>45227</v>
      </c>
      <c r="D2306" t="inlineStr">
        <is>
          <t>VÄSTRA GÖTALANDS LÄN</t>
        </is>
      </c>
      <c r="E2306" t="inlineStr">
        <is>
          <t>MUNKEDAL</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18489-2019</t>
        </is>
      </c>
      <c r="B2307" s="1" t="n">
        <v>43559</v>
      </c>
      <c r="C2307" s="1" t="n">
        <v>45227</v>
      </c>
      <c r="D2307" t="inlineStr">
        <is>
          <t>VÄSTRA GÖTALANDS LÄN</t>
        </is>
      </c>
      <c r="E2307" t="inlineStr">
        <is>
          <t>HÄRRYDA</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18330-2019</t>
        </is>
      </c>
      <c r="B2308" s="1" t="n">
        <v>43559</v>
      </c>
      <c r="C2308" s="1" t="n">
        <v>45227</v>
      </c>
      <c r="D2308" t="inlineStr">
        <is>
          <t>VÄSTRA GÖTALANDS LÄN</t>
        </is>
      </c>
      <c r="E2308" t="inlineStr">
        <is>
          <t>STENUNGSUND</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18428-2019</t>
        </is>
      </c>
      <c r="B2309" s="1" t="n">
        <v>43559</v>
      </c>
      <c r="C2309" s="1" t="n">
        <v>45227</v>
      </c>
      <c r="D2309" t="inlineStr">
        <is>
          <t>VÄSTRA GÖTALANDS LÄN</t>
        </is>
      </c>
      <c r="E2309" t="inlineStr">
        <is>
          <t>BORÅS</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18441-2019</t>
        </is>
      </c>
      <c r="B2310" s="1" t="n">
        <v>43559</v>
      </c>
      <c r="C2310" s="1" t="n">
        <v>45227</v>
      </c>
      <c r="D2310" t="inlineStr">
        <is>
          <t>VÄSTRA GÖTALANDS LÄN</t>
        </is>
      </c>
      <c r="E2310" t="inlineStr">
        <is>
          <t>MARK</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18487-2019</t>
        </is>
      </c>
      <c r="B2311" s="1" t="n">
        <v>43559</v>
      </c>
      <c r="C2311" s="1" t="n">
        <v>45227</v>
      </c>
      <c r="D2311" t="inlineStr">
        <is>
          <t>VÄSTRA GÖTALANDS LÄN</t>
        </is>
      </c>
      <c r="E2311" t="inlineStr">
        <is>
          <t>UDDEVALLA</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18507-2019</t>
        </is>
      </c>
      <c r="B2312" s="1" t="n">
        <v>43559</v>
      </c>
      <c r="C2312" s="1" t="n">
        <v>45227</v>
      </c>
      <c r="D2312" t="inlineStr">
        <is>
          <t>VÄSTRA GÖTALANDS LÄN</t>
        </is>
      </c>
      <c r="E2312" t="inlineStr">
        <is>
          <t>LIDKÖPING</t>
        </is>
      </c>
      <c r="G2312" t="n">
        <v>5.4</v>
      </c>
      <c r="H2312" t="n">
        <v>0</v>
      </c>
      <c r="I2312" t="n">
        <v>0</v>
      </c>
      <c r="J2312" t="n">
        <v>0</v>
      </c>
      <c r="K2312" t="n">
        <v>0</v>
      </c>
      <c r="L2312" t="n">
        <v>0</v>
      </c>
      <c r="M2312" t="n">
        <v>0</v>
      </c>
      <c r="N2312" t="n">
        <v>0</v>
      </c>
      <c r="O2312" t="n">
        <v>0</v>
      </c>
      <c r="P2312" t="n">
        <v>0</v>
      </c>
      <c r="Q2312" t="n">
        <v>0</v>
      </c>
      <c r="R2312" s="2" t="inlineStr"/>
    </row>
    <row r="2313" ht="15" customHeight="1">
      <c r="A2313" t="inlineStr">
        <is>
          <t>A 18519-2019</t>
        </is>
      </c>
      <c r="B2313" s="1" t="n">
        <v>43559</v>
      </c>
      <c r="C2313" s="1" t="n">
        <v>45227</v>
      </c>
      <c r="D2313" t="inlineStr">
        <is>
          <t>VÄSTRA GÖTALANDS LÄN</t>
        </is>
      </c>
      <c r="E2313" t="inlineStr">
        <is>
          <t>LIDKÖPING</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18562-2019</t>
        </is>
      </c>
      <c r="B2314" s="1" t="n">
        <v>43559</v>
      </c>
      <c r="C2314" s="1" t="n">
        <v>45227</v>
      </c>
      <c r="D2314" t="inlineStr">
        <is>
          <t>VÄSTRA GÖTALANDS LÄN</t>
        </is>
      </c>
      <c r="E2314" t="inlineStr">
        <is>
          <t>BORÅS</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18642-2019</t>
        </is>
      </c>
      <c r="B2315" s="1" t="n">
        <v>43559</v>
      </c>
      <c r="C2315" s="1" t="n">
        <v>45227</v>
      </c>
      <c r="D2315" t="inlineStr">
        <is>
          <t>VÄSTRA GÖTALANDS LÄN</t>
        </is>
      </c>
      <c r="E2315" t="inlineStr">
        <is>
          <t>FÄRGELANDA</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18341-2019</t>
        </is>
      </c>
      <c r="B2316" s="1" t="n">
        <v>43559</v>
      </c>
      <c r="C2316" s="1" t="n">
        <v>45227</v>
      </c>
      <c r="D2316" t="inlineStr">
        <is>
          <t>VÄSTRA GÖTALANDS LÄN</t>
        </is>
      </c>
      <c r="E2316" t="inlineStr">
        <is>
          <t>KUNGÄLV</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18403-2019</t>
        </is>
      </c>
      <c r="B2317" s="1" t="n">
        <v>43559</v>
      </c>
      <c r="C2317" s="1" t="n">
        <v>45227</v>
      </c>
      <c r="D2317" t="inlineStr">
        <is>
          <t>VÄSTRA GÖTALANDS LÄN</t>
        </is>
      </c>
      <c r="E2317" t="inlineStr">
        <is>
          <t>BOLLEBYGD</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18440-2019</t>
        </is>
      </c>
      <c r="B2318" s="1" t="n">
        <v>43559</v>
      </c>
      <c r="C2318" s="1" t="n">
        <v>45227</v>
      </c>
      <c r="D2318" t="inlineStr">
        <is>
          <t>VÄSTRA GÖTALANDS LÄN</t>
        </is>
      </c>
      <c r="E2318" t="inlineStr">
        <is>
          <t>MARK</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18568-2019</t>
        </is>
      </c>
      <c r="B2319" s="1" t="n">
        <v>43559</v>
      </c>
      <c r="C2319" s="1" t="n">
        <v>45227</v>
      </c>
      <c r="D2319" t="inlineStr">
        <is>
          <t>VÄSTRA GÖTALANDS LÄN</t>
        </is>
      </c>
      <c r="E2319" t="inlineStr">
        <is>
          <t>SVENLJUNGA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18665-2019</t>
        </is>
      </c>
      <c r="B2320" s="1" t="n">
        <v>43560</v>
      </c>
      <c r="C2320" s="1" t="n">
        <v>45227</v>
      </c>
      <c r="D2320" t="inlineStr">
        <is>
          <t>VÄSTRA GÖTALANDS LÄN</t>
        </is>
      </c>
      <c r="E2320" t="inlineStr">
        <is>
          <t>BORÅS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18577-2019</t>
        </is>
      </c>
      <c r="B2321" s="1" t="n">
        <v>43560</v>
      </c>
      <c r="C2321" s="1" t="n">
        <v>45227</v>
      </c>
      <c r="D2321" t="inlineStr">
        <is>
          <t>VÄSTRA GÖTALANDS LÄN</t>
        </is>
      </c>
      <c r="E2321" t="inlineStr">
        <is>
          <t>FÄRGELANDA</t>
        </is>
      </c>
      <c r="G2321" t="n">
        <v>4.8</v>
      </c>
      <c r="H2321" t="n">
        <v>0</v>
      </c>
      <c r="I2321" t="n">
        <v>0</v>
      </c>
      <c r="J2321" t="n">
        <v>0</v>
      </c>
      <c r="K2321" t="n">
        <v>0</v>
      </c>
      <c r="L2321" t="n">
        <v>0</v>
      </c>
      <c r="M2321" t="n">
        <v>0</v>
      </c>
      <c r="N2321" t="n">
        <v>0</v>
      </c>
      <c r="O2321" t="n">
        <v>0</v>
      </c>
      <c r="P2321" t="n">
        <v>0</v>
      </c>
      <c r="Q2321" t="n">
        <v>0</v>
      </c>
      <c r="R2321" s="2" t="inlineStr"/>
    </row>
    <row r="2322" ht="15" customHeight="1">
      <c r="A2322" t="inlineStr">
        <is>
          <t>A 18678-2019</t>
        </is>
      </c>
      <c r="B2322" s="1" t="n">
        <v>43560</v>
      </c>
      <c r="C2322" s="1" t="n">
        <v>45227</v>
      </c>
      <c r="D2322" t="inlineStr">
        <is>
          <t>VÄSTRA GÖTALANDS LÄN</t>
        </is>
      </c>
      <c r="E2322" t="inlineStr">
        <is>
          <t>BENGTSFORS</t>
        </is>
      </c>
      <c r="F2322" t="inlineStr">
        <is>
          <t>Övriga Aktiebolag</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18622-2019</t>
        </is>
      </c>
      <c r="B2323" s="1" t="n">
        <v>43560</v>
      </c>
      <c r="C2323" s="1" t="n">
        <v>45227</v>
      </c>
      <c r="D2323" t="inlineStr">
        <is>
          <t>VÄSTRA GÖTALANDS LÄN</t>
        </is>
      </c>
      <c r="E2323" t="inlineStr">
        <is>
          <t>SVENLJUNGA</t>
        </is>
      </c>
      <c r="G2323" t="n">
        <v>5.1</v>
      </c>
      <c r="H2323" t="n">
        <v>0</v>
      </c>
      <c r="I2323" t="n">
        <v>0</v>
      </c>
      <c r="J2323" t="n">
        <v>0</v>
      </c>
      <c r="K2323" t="n">
        <v>0</v>
      </c>
      <c r="L2323" t="n">
        <v>0</v>
      </c>
      <c r="M2323" t="n">
        <v>0</v>
      </c>
      <c r="N2323" t="n">
        <v>0</v>
      </c>
      <c r="O2323" t="n">
        <v>0</v>
      </c>
      <c r="P2323" t="n">
        <v>0</v>
      </c>
      <c r="Q2323" t="n">
        <v>0</v>
      </c>
      <c r="R2323" s="2" t="inlineStr"/>
    </row>
    <row r="2324" ht="15" customHeight="1">
      <c r="A2324" t="inlineStr">
        <is>
          <t>A 18670-2019</t>
        </is>
      </c>
      <c r="B2324" s="1" t="n">
        <v>43560</v>
      </c>
      <c r="C2324" s="1" t="n">
        <v>45227</v>
      </c>
      <c r="D2324" t="inlineStr">
        <is>
          <t>VÄSTRA GÖTALANDS LÄN</t>
        </is>
      </c>
      <c r="E2324" t="inlineStr">
        <is>
          <t>BORÅS</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18681-2019</t>
        </is>
      </c>
      <c r="B2325" s="1" t="n">
        <v>43560</v>
      </c>
      <c r="C2325" s="1" t="n">
        <v>45227</v>
      </c>
      <c r="D2325" t="inlineStr">
        <is>
          <t>VÄSTRA GÖTALANDS LÄN</t>
        </is>
      </c>
      <c r="E2325" t="inlineStr">
        <is>
          <t>ESSUNGA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18783-2019</t>
        </is>
      </c>
      <c r="B2326" s="1" t="n">
        <v>43562</v>
      </c>
      <c r="C2326" s="1" t="n">
        <v>45227</v>
      </c>
      <c r="D2326" t="inlineStr">
        <is>
          <t>VÄSTRA GÖTALANDS LÄN</t>
        </is>
      </c>
      <c r="E2326" t="inlineStr">
        <is>
          <t>MUNKEDAL</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18787-2019</t>
        </is>
      </c>
      <c r="B2327" s="1" t="n">
        <v>43562</v>
      </c>
      <c r="C2327" s="1" t="n">
        <v>45227</v>
      </c>
      <c r="D2327" t="inlineStr">
        <is>
          <t>VÄSTRA GÖTALANDS LÄN</t>
        </is>
      </c>
      <c r="E2327" t="inlineStr">
        <is>
          <t>MUNKEDAL</t>
        </is>
      </c>
      <c r="G2327" t="n">
        <v>2.1</v>
      </c>
      <c r="H2327" t="n">
        <v>0</v>
      </c>
      <c r="I2327" t="n">
        <v>0</v>
      </c>
      <c r="J2327" t="n">
        <v>0</v>
      </c>
      <c r="K2327" t="n">
        <v>0</v>
      </c>
      <c r="L2327" t="n">
        <v>0</v>
      </c>
      <c r="M2327" t="n">
        <v>0</v>
      </c>
      <c r="N2327" t="n">
        <v>0</v>
      </c>
      <c r="O2327" t="n">
        <v>0</v>
      </c>
      <c r="P2327" t="n">
        <v>0</v>
      </c>
      <c r="Q2327" t="n">
        <v>0</v>
      </c>
      <c r="R2327" s="2" t="inlineStr"/>
    </row>
    <row r="2328" ht="15" customHeight="1">
      <c r="A2328" t="inlineStr">
        <is>
          <t>A 18878-2019</t>
        </is>
      </c>
      <c r="B2328" s="1" t="n">
        <v>43563</v>
      </c>
      <c r="C2328" s="1" t="n">
        <v>45227</v>
      </c>
      <c r="D2328" t="inlineStr">
        <is>
          <t>VÄSTRA GÖTALANDS LÄN</t>
        </is>
      </c>
      <c r="E2328" t="inlineStr">
        <is>
          <t>TANUM</t>
        </is>
      </c>
      <c r="G2328" t="n">
        <v>3.7</v>
      </c>
      <c r="H2328" t="n">
        <v>0</v>
      </c>
      <c r="I2328" t="n">
        <v>0</v>
      </c>
      <c r="J2328" t="n">
        <v>0</v>
      </c>
      <c r="K2328" t="n">
        <v>0</v>
      </c>
      <c r="L2328" t="n">
        <v>0</v>
      </c>
      <c r="M2328" t="n">
        <v>0</v>
      </c>
      <c r="N2328" t="n">
        <v>0</v>
      </c>
      <c r="O2328" t="n">
        <v>0</v>
      </c>
      <c r="P2328" t="n">
        <v>0</v>
      </c>
      <c r="Q2328" t="n">
        <v>0</v>
      </c>
      <c r="R2328" s="2" t="inlineStr"/>
    </row>
    <row r="2329" ht="15" customHeight="1">
      <c r="A2329" t="inlineStr">
        <is>
          <t>A 18886-2019</t>
        </is>
      </c>
      <c r="B2329" s="1" t="n">
        <v>43563</v>
      </c>
      <c r="C2329" s="1" t="n">
        <v>45227</v>
      </c>
      <c r="D2329" t="inlineStr">
        <is>
          <t>VÄSTRA GÖTALANDS LÄN</t>
        </is>
      </c>
      <c r="E2329" t="inlineStr">
        <is>
          <t>BOLLEBYGD</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18884-2019</t>
        </is>
      </c>
      <c r="B2330" s="1" t="n">
        <v>43563</v>
      </c>
      <c r="C2330" s="1" t="n">
        <v>45227</v>
      </c>
      <c r="D2330" t="inlineStr">
        <is>
          <t>VÄSTRA GÖTALANDS LÄN</t>
        </is>
      </c>
      <c r="E2330" t="inlineStr">
        <is>
          <t>VARA</t>
        </is>
      </c>
      <c r="G2330" t="n">
        <v>5.8</v>
      </c>
      <c r="H2330" t="n">
        <v>0</v>
      </c>
      <c r="I2330" t="n">
        <v>0</v>
      </c>
      <c r="J2330" t="n">
        <v>0</v>
      </c>
      <c r="K2330" t="n">
        <v>0</v>
      </c>
      <c r="L2330" t="n">
        <v>0</v>
      </c>
      <c r="M2330" t="n">
        <v>0</v>
      </c>
      <c r="N2330" t="n">
        <v>0</v>
      </c>
      <c r="O2330" t="n">
        <v>0</v>
      </c>
      <c r="P2330" t="n">
        <v>0</v>
      </c>
      <c r="Q2330" t="n">
        <v>0</v>
      </c>
      <c r="R2330" s="2" t="inlineStr"/>
    </row>
    <row r="2331" ht="15" customHeight="1">
      <c r="A2331" t="inlineStr">
        <is>
          <t>A 18975-2019</t>
        </is>
      </c>
      <c r="B2331" s="1" t="n">
        <v>43563</v>
      </c>
      <c r="C2331" s="1" t="n">
        <v>45227</v>
      </c>
      <c r="D2331" t="inlineStr">
        <is>
          <t>VÄSTRA GÖTALANDS LÄN</t>
        </is>
      </c>
      <c r="E2331" t="inlineStr">
        <is>
          <t>HÄRRYDA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19169-2019</t>
        </is>
      </c>
      <c r="B2332" s="1" t="n">
        <v>43564</v>
      </c>
      <c r="C2332" s="1" t="n">
        <v>45227</v>
      </c>
      <c r="D2332" t="inlineStr">
        <is>
          <t>VÄSTRA GÖTALANDS LÄN</t>
        </is>
      </c>
      <c r="E2332" t="inlineStr">
        <is>
          <t>TRANEMO</t>
        </is>
      </c>
      <c r="F2332" t="inlineStr">
        <is>
          <t>Sveaskog</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19186-2019</t>
        </is>
      </c>
      <c r="B2333" s="1" t="n">
        <v>43564</v>
      </c>
      <c r="C2333" s="1" t="n">
        <v>45227</v>
      </c>
      <c r="D2333" t="inlineStr">
        <is>
          <t>VÄSTRA GÖTALANDS LÄN</t>
        </is>
      </c>
      <c r="E2333" t="inlineStr">
        <is>
          <t>LILLA EDET</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19250-2019</t>
        </is>
      </c>
      <c r="B2334" s="1" t="n">
        <v>43564</v>
      </c>
      <c r="C2334" s="1" t="n">
        <v>45227</v>
      </c>
      <c r="D2334" t="inlineStr">
        <is>
          <t>VÄSTRA GÖTALANDS LÄN</t>
        </is>
      </c>
      <c r="E2334" t="inlineStr">
        <is>
          <t>GÖTENE</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19160-2019</t>
        </is>
      </c>
      <c r="B2335" s="1" t="n">
        <v>43564</v>
      </c>
      <c r="C2335" s="1" t="n">
        <v>45227</v>
      </c>
      <c r="D2335" t="inlineStr">
        <is>
          <t>VÄSTRA GÖTALANDS LÄN</t>
        </is>
      </c>
      <c r="E2335" t="inlineStr">
        <is>
          <t>LILLA EDET</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19200-2019</t>
        </is>
      </c>
      <c r="B2336" s="1" t="n">
        <v>43564</v>
      </c>
      <c r="C2336" s="1" t="n">
        <v>45227</v>
      </c>
      <c r="D2336" t="inlineStr">
        <is>
          <t>VÄSTRA GÖTALANDS LÄN</t>
        </is>
      </c>
      <c r="E2336" t="inlineStr">
        <is>
          <t>HÄRRYDA</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19345-2019</t>
        </is>
      </c>
      <c r="B2337" s="1" t="n">
        <v>43565</v>
      </c>
      <c r="C2337" s="1" t="n">
        <v>45227</v>
      </c>
      <c r="D2337" t="inlineStr">
        <is>
          <t>VÄSTRA GÖTALANDS LÄN</t>
        </is>
      </c>
      <c r="E2337" t="inlineStr">
        <is>
          <t>SVENLJUNGA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19430-2019</t>
        </is>
      </c>
      <c r="B2338" s="1" t="n">
        <v>43565</v>
      </c>
      <c r="C2338" s="1" t="n">
        <v>45227</v>
      </c>
      <c r="D2338" t="inlineStr">
        <is>
          <t>VÄSTRA GÖTALANDS LÄN</t>
        </is>
      </c>
      <c r="E2338" t="inlineStr">
        <is>
          <t>BENGTSFORS</t>
        </is>
      </c>
      <c r="G2338" t="n">
        <v>2</v>
      </c>
      <c r="H2338" t="n">
        <v>0</v>
      </c>
      <c r="I2338" t="n">
        <v>0</v>
      </c>
      <c r="J2338" t="n">
        <v>0</v>
      </c>
      <c r="K2338" t="n">
        <v>0</v>
      </c>
      <c r="L2338" t="n">
        <v>0</v>
      </c>
      <c r="M2338" t="n">
        <v>0</v>
      </c>
      <c r="N2338" t="n">
        <v>0</v>
      </c>
      <c r="O2338" t="n">
        <v>0</v>
      </c>
      <c r="P2338" t="n">
        <v>0</v>
      </c>
      <c r="Q2338" t="n">
        <v>0</v>
      </c>
      <c r="R2338" s="2" t="inlineStr"/>
    </row>
    <row r="2339" ht="15" customHeight="1">
      <c r="A2339" t="inlineStr">
        <is>
          <t>A 19346-2019</t>
        </is>
      </c>
      <c r="B2339" s="1" t="n">
        <v>43565</v>
      </c>
      <c r="C2339" s="1" t="n">
        <v>45227</v>
      </c>
      <c r="D2339" t="inlineStr">
        <is>
          <t>VÄSTRA GÖTALANDS LÄN</t>
        </is>
      </c>
      <c r="E2339" t="inlineStr">
        <is>
          <t>SVENLJUNGA</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19389-2019</t>
        </is>
      </c>
      <c r="B2340" s="1" t="n">
        <v>43565</v>
      </c>
      <c r="C2340" s="1" t="n">
        <v>45227</v>
      </c>
      <c r="D2340" t="inlineStr">
        <is>
          <t>VÄSTRA GÖTALANDS LÄN</t>
        </is>
      </c>
      <c r="E2340" t="inlineStr">
        <is>
          <t>MARK</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19460-2019</t>
        </is>
      </c>
      <c r="B2341" s="1" t="n">
        <v>43565</v>
      </c>
      <c r="C2341" s="1" t="n">
        <v>45227</v>
      </c>
      <c r="D2341" t="inlineStr">
        <is>
          <t>VÄSTRA GÖTALANDS LÄN</t>
        </is>
      </c>
      <c r="E2341" t="inlineStr">
        <is>
          <t>ALINGSÅS</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19366-2019</t>
        </is>
      </c>
      <c r="B2342" s="1" t="n">
        <v>43565</v>
      </c>
      <c r="C2342" s="1" t="n">
        <v>45227</v>
      </c>
      <c r="D2342" t="inlineStr">
        <is>
          <t>VÄSTRA GÖTALANDS LÄN</t>
        </is>
      </c>
      <c r="E2342" t="inlineStr">
        <is>
          <t>SVENLJUNGA</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19394-2019</t>
        </is>
      </c>
      <c r="B2343" s="1" t="n">
        <v>43565</v>
      </c>
      <c r="C2343" s="1" t="n">
        <v>45227</v>
      </c>
      <c r="D2343" t="inlineStr">
        <is>
          <t>VÄSTRA GÖTALANDS LÄN</t>
        </is>
      </c>
      <c r="E2343" t="inlineStr">
        <is>
          <t>BENGTSFORS</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19612-2019</t>
        </is>
      </c>
      <c r="B2344" s="1" t="n">
        <v>43565</v>
      </c>
      <c r="C2344" s="1" t="n">
        <v>45227</v>
      </c>
      <c r="D2344" t="inlineStr">
        <is>
          <t>VÄSTRA GÖTALANDS LÄN</t>
        </is>
      </c>
      <c r="E2344" t="inlineStr">
        <is>
          <t>STRÖMSTAD</t>
        </is>
      </c>
      <c r="G2344" t="n">
        <v>4.3</v>
      </c>
      <c r="H2344" t="n">
        <v>0</v>
      </c>
      <c r="I2344" t="n">
        <v>0</v>
      </c>
      <c r="J2344" t="n">
        <v>0</v>
      </c>
      <c r="K2344" t="n">
        <v>0</v>
      </c>
      <c r="L2344" t="n">
        <v>0</v>
      </c>
      <c r="M2344" t="n">
        <v>0</v>
      </c>
      <c r="N2344" t="n">
        <v>0</v>
      </c>
      <c r="O2344" t="n">
        <v>0</v>
      </c>
      <c r="P2344" t="n">
        <v>0</v>
      </c>
      <c r="Q2344" t="n">
        <v>0</v>
      </c>
      <c r="R2344" s="2" t="inlineStr"/>
    </row>
    <row r="2345" ht="15" customHeight="1">
      <c r="A2345" t="inlineStr">
        <is>
          <t>A 19429-2019</t>
        </is>
      </c>
      <c r="B2345" s="1" t="n">
        <v>43565</v>
      </c>
      <c r="C2345" s="1" t="n">
        <v>45227</v>
      </c>
      <c r="D2345" t="inlineStr">
        <is>
          <t>VÄSTRA GÖTALANDS LÄN</t>
        </is>
      </c>
      <c r="E2345" t="inlineStr">
        <is>
          <t>BENGTSFORS</t>
        </is>
      </c>
      <c r="G2345" t="n">
        <v>10.2</v>
      </c>
      <c r="H2345" t="n">
        <v>0</v>
      </c>
      <c r="I2345" t="n">
        <v>0</v>
      </c>
      <c r="J2345" t="n">
        <v>0</v>
      </c>
      <c r="K2345" t="n">
        <v>0</v>
      </c>
      <c r="L2345" t="n">
        <v>0</v>
      </c>
      <c r="M2345" t="n">
        <v>0</v>
      </c>
      <c r="N2345" t="n">
        <v>0</v>
      </c>
      <c r="O2345" t="n">
        <v>0</v>
      </c>
      <c r="P2345" t="n">
        <v>0</v>
      </c>
      <c r="Q2345" t="n">
        <v>0</v>
      </c>
      <c r="R2345" s="2" t="inlineStr"/>
    </row>
    <row r="2346" ht="15" customHeight="1">
      <c r="A2346" t="inlineStr">
        <is>
          <t>A 19644-2019</t>
        </is>
      </c>
      <c r="B2346" s="1" t="n">
        <v>43566</v>
      </c>
      <c r="C2346" s="1" t="n">
        <v>45227</v>
      </c>
      <c r="D2346" t="inlineStr">
        <is>
          <t>VÄSTRA GÖTALANDS LÄN</t>
        </is>
      </c>
      <c r="E2346" t="inlineStr">
        <is>
          <t>DALS-ED</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19702-2019</t>
        </is>
      </c>
      <c r="B2347" s="1" t="n">
        <v>43566</v>
      </c>
      <c r="C2347" s="1" t="n">
        <v>45227</v>
      </c>
      <c r="D2347" t="inlineStr">
        <is>
          <t>VÄSTRA GÖTALANDS LÄN</t>
        </is>
      </c>
      <c r="E2347" t="inlineStr">
        <is>
          <t>LIDKÖPING</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19720-2019</t>
        </is>
      </c>
      <c r="B2348" s="1" t="n">
        <v>43566</v>
      </c>
      <c r="C2348" s="1" t="n">
        <v>45227</v>
      </c>
      <c r="D2348" t="inlineStr">
        <is>
          <t>VÄSTRA GÖTALANDS LÄN</t>
        </is>
      </c>
      <c r="E2348" t="inlineStr">
        <is>
          <t>TROLLHÄTTAN</t>
        </is>
      </c>
      <c r="G2348" t="n">
        <v>6.4</v>
      </c>
      <c r="H2348" t="n">
        <v>0</v>
      </c>
      <c r="I2348" t="n">
        <v>0</v>
      </c>
      <c r="J2348" t="n">
        <v>0</v>
      </c>
      <c r="K2348" t="n">
        <v>0</v>
      </c>
      <c r="L2348" t="n">
        <v>0</v>
      </c>
      <c r="M2348" t="n">
        <v>0</v>
      </c>
      <c r="N2348" t="n">
        <v>0</v>
      </c>
      <c r="O2348" t="n">
        <v>0</v>
      </c>
      <c r="P2348" t="n">
        <v>0</v>
      </c>
      <c r="Q2348" t="n">
        <v>0</v>
      </c>
      <c r="R2348" s="2" t="inlineStr"/>
    </row>
    <row r="2349" ht="15" customHeight="1">
      <c r="A2349" t="inlineStr">
        <is>
          <t>A 19568-2019</t>
        </is>
      </c>
      <c r="B2349" s="1" t="n">
        <v>43566</v>
      </c>
      <c r="C2349" s="1" t="n">
        <v>45227</v>
      </c>
      <c r="D2349" t="inlineStr">
        <is>
          <t>VÄSTRA GÖTALANDS LÄN</t>
        </is>
      </c>
      <c r="E2349" t="inlineStr">
        <is>
          <t>MARK</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19639-2019</t>
        </is>
      </c>
      <c r="B2350" s="1" t="n">
        <v>43566</v>
      </c>
      <c r="C2350" s="1" t="n">
        <v>45227</v>
      </c>
      <c r="D2350" t="inlineStr">
        <is>
          <t>VÄSTRA GÖTALANDS LÄN</t>
        </is>
      </c>
      <c r="E2350" t="inlineStr">
        <is>
          <t>DALS-ED</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19706-2019</t>
        </is>
      </c>
      <c r="B2351" s="1" t="n">
        <v>43566</v>
      </c>
      <c r="C2351" s="1" t="n">
        <v>45227</v>
      </c>
      <c r="D2351" t="inlineStr">
        <is>
          <t>VÄSTRA GÖTALANDS LÄN</t>
        </is>
      </c>
      <c r="E2351" t="inlineStr">
        <is>
          <t>LIDKÖPING</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19719-2019</t>
        </is>
      </c>
      <c r="B2352" s="1" t="n">
        <v>43566</v>
      </c>
      <c r="C2352" s="1" t="n">
        <v>45227</v>
      </c>
      <c r="D2352" t="inlineStr">
        <is>
          <t>VÄSTRA GÖTALANDS LÄN</t>
        </is>
      </c>
      <c r="E2352" t="inlineStr">
        <is>
          <t>TROLLHÄTTAN</t>
        </is>
      </c>
      <c r="G2352" t="n">
        <v>0.2</v>
      </c>
      <c r="H2352" t="n">
        <v>0</v>
      </c>
      <c r="I2352" t="n">
        <v>0</v>
      </c>
      <c r="J2352" t="n">
        <v>0</v>
      </c>
      <c r="K2352" t="n">
        <v>0</v>
      </c>
      <c r="L2352" t="n">
        <v>0</v>
      </c>
      <c r="M2352" t="n">
        <v>0</v>
      </c>
      <c r="N2352" t="n">
        <v>0</v>
      </c>
      <c r="O2352" t="n">
        <v>0</v>
      </c>
      <c r="P2352" t="n">
        <v>0</v>
      </c>
      <c r="Q2352" t="n">
        <v>0</v>
      </c>
      <c r="R2352" s="2" t="inlineStr"/>
    </row>
    <row r="2353" ht="15" customHeight="1">
      <c r="A2353" t="inlineStr">
        <is>
          <t>A 19666-2019</t>
        </is>
      </c>
      <c r="B2353" s="1" t="n">
        <v>43566</v>
      </c>
      <c r="C2353" s="1" t="n">
        <v>45227</v>
      </c>
      <c r="D2353" t="inlineStr">
        <is>
          <t>VÄSTRA GÖTALANDS LÄN</t>
        </is>
      </c>
      <c r="E2353" t="inlineStr">
        <is>
          <t>FÄRGELANDA</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19688-2019</t>
        </is>
      </c>
      <c r="B2354" s="1" t="n">
        <v>43566</v>
      </c>
      <c r="C2354" s="1" t="n">
        <v>45227</v>
      </c>
      <c r="D2354" t="inlineStr">
        <is>
          <t>VÄSTRA GÖTALANDS LÄN</t>
        </is>
      </c>
      <c r="E2354" t="inlineStr">
        <is>
          <t>HÄRRYDA</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19793-2019</t>
        </is>
      </c>
      <c r="B2355" s="1" t="n">
        <v>43566</v>
      </c>
      <c r="C2355" s="1" t="n">
        <v>45227</v>
      </c>
      <c r="D2355" t="inlineStr">
        <is>
          <t>VÄSTRA GÖTALANDS LÄN</t>
        </is>
      </c>
      <c r="E2355" t="inlineStr">
        <is>
          <t>VARA</t>
        </is>
      </c>
      <c r="G2355" t="n">
        <v>6.9</v>
      </c>
      <c r="H2355" t="n">
        <v>0</v>
      </c>
      <c r="I2355" t="n">
        <v>0</v>
      </c>
      <c r="J2355" t="n">
        <v>0</v>
      </c>
      <c r="K2355" t="n">
        <v>0</v>
      </c>
      <c r="L2355" t="n">
        <v>0</v>
      </c>
      <c r="M2355" t="n">
        <v>0</v>
      </c>
      <c r="N2355" t="n">
        <v>0</v>
      </c>
      <c r="O2355" t="n">
        <v>0</v>
      </c>
      <c r="P2355" t="n">
        <v>0</v>
      </c>
      <c r="Q2355" t="n">
        <v>0</v>
      </c>
      <c r="R2355" s="2" t="inlineStr"/>
    </row>
    <row r="2356" ht="15" customHeight="1">
      <c r="A2356" t="inlineStr">
        <is>
          <t>A 19704-2019</t>
        </is>
      </c>
      <c r="B2356" s="1" t="n">
        <v>43566</v>
      </c>
      <c r="C2356" s="1" t="n">
        <v>45227</v>
      </c>
      <c r="D2356" t="inlineStr">
        <is>
          <t>VÄSTRA GÖTALANDS LÄN</t>
        </is>
      </c>
      <c r="E2356" t="inlineStr">
        <is>
          <t>LIDKÖPING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19747-2019</t>
        </is>
      </c>
      <c r="B2357" s="1" t="n">
        <v>43567</v>
      </c>
      <c r="C2357" s="1" t="n">
        <v>45227</v>
      </c>
      <c r="D2357" t="inlineStr">
        <is>
          <t>VÄSTRA GÖTALANDS LÄN</t>
        </is>
      </c>
      <c r="E2357" t="inlineStr">
        <is>
          <t>MARK</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19796-2019</t>
        </is>
      </c>
      <c r="B2358" s="1" t="n">
        <v>43567</v>
      </c>
      <c r="C2358" s="1" t="n">
        <v>45227</v>
      </c>
      <c r="D2358" t="inlineStr">
        <is>
          <t>VÄSTRA GÖTALANDS LÄN</t>
        </is>
      </c>
      <c r="E2358" t="inlineStr">
        <is>
          <t>ORUST</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19826-2019</t>
        </is>
      </c>
      <c r="B2359" s="1" t="n">
        <v>43567</v>
      </c>
      <c r="C2359" s="1" t="n">
        <v>45227</v>
      </c>
      <c r="D2359" t="inlineStr">
        <is>
          <t>VÄSTRA GÖTALANDS LÄN</t>
        </is>
      </c>
      <c r="E2359" t="inlineStr">
        <is>
          <t>HÄRRYDA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19865-2019</t>
        </is>
      </c>
      <c r="B2360" s="1" t="n">
        <v>43567</v>
      </c>
      <c r="C2360" s="1" t="n">
        <v>45227</v>
      </c>
      <c r="D2360" t="inlineStr">
        <is>
          <t>VÄSTRA GÖTALANDS LÄN</t>
        </is>
      </c>
      <c r="E2360" t="inlineStr">
        <is>
          <t>BENGTSFORS</t>
        </is>
      </c>
      <c r="F2360" t="inlineStr">
        <is>
          <t>Övriga Aktiebolag</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19759-2019</t>
        </is>
      </c>
      <c r="B2361" s="1" t="n">
        <v>43567</v>
      </c>
      <c r="C2361" s="1" t="n">
        <v>45227</v>
      </c>
      <c r="D2361" t="inlineStr">
        <is>
          <t>VÄSTRA GÖTALANDS LÄN</t>
        </is>
      </c>
      <c r="E2361" t="inlineStr">
        <is>
          <t>BENGTSFORS</t>
        </is>
      </c>
      <c r="G2361" t="n">
        <v>6.4</v>
      </c>
      <c r="H2361" t="n">
        <v>0</v>
      </c>
      <c r="I2361" t="n">
        <v>0</v>
      </c>
      <c r="J2361" t="n">
        <v>0</v>
      </c>
      <c r="K2361" t="n">
        <v>0</v>
      </c>
      <c r="L2361" t="n">
        <v>0</v>
      </c>
      <c r="M2361" t="n">
        <v>0</v>
      </c>
      <c r="N2361" t="n">
        <v>0</v>
      </c>
      <c r="O2361" t="n">
        <v>0</v>
      </c>
      <c r="P2361" t="n">
        <v>0</v>
      </c>
      <c r="Q2361" t="n">
        <v>0</v>
      </c>
      <c r="R2361" s="2" t="inlineStr"/>
    </row>
    <row r="2362" ht="15" customHeight="1">
      <c r="A2362" t="inlineStr">
        <is>
          <t>A 19842-2019</t>
        </is>
      </c>
      <c r="B2362" s="1" t="n">
        <v>43567</v>
      </c>
      <c r="C2362" s="1" t="n">
        <v>45227</v>
      </c>
      <c r="D2362" t="inlineStr">
        <is>
          <t>VÄSTRA GÖTALANDS LÄN</t>
        </is>
      </c>
      <c r="E2362" t="inlineStr">
        <is>
          <t>LERUM</t>
        </is>
      </c>
      <c r="G2362" t="n">
        <v>1.9</v>
      </c>
      <c r="H2362" t="n">
        <v>0</v>
      </c>
      <c r="I2362" t="n">
        <v>0</v>
      </c>
      <c r="J2362" t="n">
        <v>0</v>
      </c>
      <c r="K2362" t="n">
        <v>0</v>
      </c>
      <c r="L2362" t="n">
        <v>0</v>
      </c>
      <c r="M2362" t="n">
        <v>0</v>
      </c>
      <c r="N2362" t="n">
        <v>0</v>
      </c>
      <c r="O2362" t="n">
        <v>0</v>
      </c>
      <c r="P2362" t="n">
        <v>0</v>
      </c>
      <c r="Q2362" t="n">
        <v>0</v>
      </c>
      <c r="R2362" s="2" t="inlineStr"/>
    </row>
    <row r="2363" ht="15" customHeight="1">
      <c r="A2363" t="inlineStr">
        <is>
          <t>A 19995-2019</t>
        </is>
      </c>
      <c r="B2363" s="1" t="n">
        <v>43567</v>
      </c>
      <c r="C2363" s="1" t="n">
        <v>45227</v>
      </c>
      <c r="D2363" t="inlineStr">
        <is>
          <t>VÄSTRA GÖTALANDS LÄN</t>
        </is>
      </c>
      <c r="E2363" t="inlineStr">
        <is>
          <t>TÖREBODA</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19741-2019</t>
        </is>
      </c>
      <c r="B2364" s="1" t="n">
        <v>43567</v>
      </c>
      <c r="C2364" s="1" t="n">
        <v>45227</v>
      </c>
      <c r="D2364" t="inlineStr">
        <is>
          <t>VÄSTRA GÖTALANDS LÄN</t>
        </is>
      </c>
      <c r="E2364" t="inlineStr">
        <is>
          <t>SKÖVDE</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19773-2019</t>
        </is>
      </c>
      <c r="B2365" s="1" t="n">
        <v>43567</v>
      </c>
      <c r="C2365" s="1" t="n">
        <v>45227</v>
      </c>
      <c r="D2365" t="inlineStr">
        <is>
          <t>VÄSTRA GÖTALANDS LÄN</t>
        </is>
      </c>
      <c r="E2365" t="inlineStr">
        <is>
          <t>LIDKÖPING</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19797-2019</t>
        </is>
      </c>
      <c r="B2366" s="1" t="n">
        <v>43567</v>
      </c>
      <c r="C2366" s="1" t="n">
        <v>45227</v>
      </c>
      <c r="D2366" t="inlineStr">
        <is>
          <t>VÄSTRA GÖTALANDS LÄN</t>
        </is>
      </c>
      <c r="E2366" t="inlineStr">
        <is>
          <t>LIDKÖPING</t>
        </is>
      </c>
      <c r="G2366" t="n">
        <v>3.1</v>
      </c>
      <c r="H2366" t="n">
        <v>0</v>
      </c>
      <c r="I2366" t="n">
        <v>0</v>
      </c>
      <c r="J2366" t="n">
        <v>0</v>
      </c>
      <c r="K2366" t="n">
        <v>0</v>
      </c>
      <c r="L2366" t="n">
        <v>0</v>
      </c>
      <c r="M2366" t="n">
        <v>0</v>
      </c>
      <c r="N2366" t="n">
        <v>0</v>
      </c>
      <c r="O2366" t="n">
        <v>0</v>
      </c>
      <c r="P2366" t="n">
        <v>0</v>
      </c>
      <c r="Q2366" t="n">
        <v>0</v>
      </c>
      <c r="R2366" s="2" t="inlineStr"/>
    </row>
    <row r="2367" ht="15" customHeight="1">
      <c r="A2367" t="inlineStr">
        <is>
          <t>A 19957-2019</t>
        </is>
      </c>
      <c r="B2367" s="1" t="n">
        <v>43569</v>
      </c>
      <c r="C2367" s="1" t="n">
        <v>45227</v>
      </c>
      <c r="D2367" t="inlineStr">
        <is>
          <t>VÄSTRA GÖTALANDS LÄN</t>
        </is>
      </c>
      <c r="E2367" t="inlineStr">
        <is>
          <t>UDDEVALLA</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20025-2019</t>
        </is>
      </c>
      <c r="B2368" s="1" t="n">
        <v>43570</v>
      </c>
      <c r="C2368" s="1" t="n">
        <v>45227</v>
      </c>
      <c r="D2368" t="inlineStr">
        <is>
          <t>VÄSTRA GÖTALANDS LÄN</t>
        </is>
      </c>
      <c r="E2368" t="inlineStr">
        <is>
          <t>HJO</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20108-2019</t>
        </is>
      </c>
      <c r="B2369" s="1" t="n">
        <v>43570</v>
      </c>
      <c r="C2369" s="1" t="n">
        <v>45227</v>
      </c>
      <c r="D2369" t="inlineStr">
        <is>
          <t>VÄSTRA GÖTALANDS LÄN</t>
        </is>
      </c>
      <c r="E2369" t="inlineStr">
        <is>
          <t>MARIESTAD</t>
        </is>
      </c>
      <c r="F2369" t="inlineStr">
        <is>
          <t>Kyrkan</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20168-2019</t>
        </is>
      </c>
      <c r="B2370" s="1" t="n">
        <v>43570</v>
      </c>
      <c r="C2370" s="1" t="n">
        <v>45227</v>
      </c>
      <c r="D2370" t="inlineStr">
        <is>
          <t>VÄSTRA GÖTALANDS LÄN</t>
        </is>
      </c>
      <c r="E2370" t="inlineStr">
        <is>
          <t>HJO</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20315-2019</t>
        </is>
      </c>
      <c r="B2371" s="1" t="n">
        <v>43570</v>
      </c>
      <c r="C2371" s="1" t="n">
        <v>45227</v>
      </c>
      <c r="D2371" t="inlineStr">
        <is>
          <t>VÄSTRA GÖTALANDS LÄN</t>
        </is>
      </c>
      <c r="E2371" t="inlineStr">
        <is>
          <t>HÄRRYDA</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20074-2019</t>
        </is>
      </c>
      <c r="B2372" s="1" t="n">
        <v>43570</v>
      </c>
      <c r="C2372" s="1" t="n">
        <v>45227</v>
      </c>
      <c r="D2372" t="inlineStr">
        <is>
          <t>VÄSTRA GÖTALANDS LÄN</t>
        </is>
      </c>
      <c r="E2372" t="inlineStr">
        <is>
          <t>DALS-ED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20160-2019</t>
        </is>
      </c>
      <c r="B2373" s="1" t="n">
        <v>43570</v>
      </c>
      <c r="C2373" s="1" t="n">
        <v>45227</v>
      </c>
      <c r="D2373" t="inlineStr">
        <is>
          <t>VÄSTRA GÖTALANDS LÄN</t>
        </is>
      </c>
      <c r="E2373" t="inlineStr">
        <is>
          <t>MARIESTAD</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20191-2019</t>
        </is>
      </c>
      <c r="B2374" s="1" t="n">
        <v>43570</v>
      </c>
      <c r="C2374" s="1" t="n">
        <v>45227</v>
      </c>
      <c r="D2374" t="inlineStr">
        <is>
          <t>VÄSTRA GÖTALANDS LÄN</t>
        </is>
      </c>
      <c r="E2374" t="inlineStr">
        <is>
          <t>MARK</t>
        </is>
      </c>
      <c r="G2374" t="n">
        <v>3</v>
      </c>
      <c r="H2374" t="n">
        <v>0</v>
      </c>
      <c r="I2374" t="n">
        <v>0</v>
      </c>
      <c r="J2374" t="n">
        <v>0</v>
      </c>
      <c r="K2374" t="n">
        <v>0</v>
      </c>
      <c r="L2374" t="n">
        <v>0</v>
      </c>
      <c r="M2374" t="n">
        <v>0</v>
      </c>
      <c r="N2374" t="n">
        <v>0</v>
      </c>
      <c r="O2374" t="n">
        <v>0</v>
      </c>
      <c r="P2374" t="n">
        <v>0</v>
      </c>
      <c r="Q2374" t="n">
        <v>0</v>
      </c>
      <c r="R2374" s="2" t="inlineStr"/>
    </row>
    <row r="2375" ht="15" customHeight="1">
      <c r="A2375" t="inlineStr">
        <is>
          <t>A 20436-2019</t>
        </is>
      </c>
      <c r="B2375" s="1" t="n">
        <v>43571</v>
      </c>
      <c r="C2375" s="1" t="n">
        <v>45227</v>
      </c>
      <c r="D2375" t="inlineStr">
        <is>
          <t>VÄSTRA GÖTALANDS LÄN</t>
        </is>
      </c>
      <c r="E2375" t="inlineStr">
        <is>
          <t>LILLA EDET</t>
        </is>
      </c>
      <c r="G2375" t="n">
        <v>4.2</v>
      </c>
      <c r="H2375" t="n">
        <v>0</v>
      </c>
      <c r="I2375" t="n">
        <v>0</v>
      </c>
      <c r="J2375" t="n">
        <v>0</v>
      </c>
      <c r="K2375" t="n">
        <v>0</v>
      </c>
      <c r="L2375" t="n">
        <v>0</v>
      </c>
      <c r="M2375" t="n">
        <v>0</v>
      </c>
      <c r="N2375" t="n">
        <v>0</v>
      </c>
      <c r="O2375" t="n">
        <v>0</v>
      </c>
      <c r="P2375" t="n">
        <v>0</v>
      </c>
      <c r="Q2375" t="n">
        <v>0</v>
      </c>
      <c r="R2375" s="2" t="inlineStr"/>
    </row>
    <row r="2376" ht="15" customHeight="1">
      <c r="A2376" t="inlineStr">
        <is>
          <t>A 20421-2019</t>
        </is>
      </c>
      <c r="B2376" s="1" t="n">
        <v>43571</v>
      </c>
      <c r="C2376" s="1" t="n">
        <v>45227</v>
      </c>
      <c r="D2376" t="inlineStr">
        <is>
          <t>VÄSTRA GÖTALANDS LÄN</t>
        </is>
      </c>
      <c r="E2376" t="inlineStr">
        <is>
          <t>KUNGÄLV</t>
        </is>
      </c>
      <c r="G2376" t="n">
        <v>2.8</v>
      </c>
      <c r="H2376" t="n">
        <v>0</v>
      </c>
      <c r="I2376" t="n">
        <v>0</v>
      </c>
      <c r="J2376" t="n">
        <v>0</v>
      </c>
      <c r="K2376" t="n">
        <v>0</v>
      </c>
      <c r="L2376" t="n">
        <v>0</v>
      </c>
      <c r="M2376" t="n">
        <v>0</v>
      </c>
      <c r="N2376" t="n">
        <v>0</v>
      </c>
      <c r="O2376" t="n">
        <v>0</v>
      </c>
      <c r="P2376" t="n">
        <v>0</v>
      </c>
      <c r="Q2376" t="n">
        <v>0</v>
      </c>
      <c r="R2376" s="2" t="inlineStr"/>
    </row>
    <row r="2377" ht="15" customHeight="1">
      <c r="A2377" t="inlineStr">
        <is>
          <t>A 20231-2019</t>
        </is>
      </c>
      <c r="B2377" s="1" t="n">
        <v>43571</v>
      </c>
      <c r="C2377" s="1" t="n">
        <v>45227</v>
      </c>
      <c r="D2377" t="inlineStr">
        <is>
          <t>VÄSTRA GÖTALANDS LÄN</t>
        </is>
      </c>
      <c r="E2377" t="inlineStr">
        <is>
          <t>ALINGSÅS</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20425-2019</t>
        </is>
      </c>
      <c r="B2378" s="1" t="n">
        <v>43571</v>
      </c>
      <c r="C2378" s="1" t="n">
        <v>45227</v>
      </c>
      <c r="D2378" t="inlineStr">
        <is>
          <t>VÄSTRA GÖTALANDS LÄN</t>
        </is>
      </c>
      <c r="E2378" t="inlineStr">
        <is>
          <t>HJO</t>
        </is>
      </c>
      <c r="F2378" t="inlineStr">
        <is>
          <t>Övriga Aktiebolag</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20574-2019</t>
        </is>
      </c>
      <c r="B2379" s="1" t="n">
        <v>43572</v>
      </c>
      <c r="C2379" s="1" t="n">
        <v>45227</v>
      </c>
      <c r="D2379" t="inlineStr">
        <is>
          <t>VÄSTRA GÖTALANDS LÄN</t>
        </is>
      </c>
      <c r="E2379" t="inlineStr">
        <is>
          <t>VÅRGÅRDA</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20613-2019</t>
        </is>
      </c>
      <c r="B2380" s="1" t="n">
        <v>43572</v>
      </c>
      <c r="C2380" s="1" t="n">
        <v>45227</v>
      </c>
      <c r="D2380" t="inlineStr">
        <is>
          <t>VÄSTRA GÖTALANDS LÄN</t>
        </is>
      </c>
      <c r="E2380" t="inlineStr">
        <is>
          <t>SVENLJUNGA</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20660-2019</t>
        </is>
      </c>
      <c r="B2381" s="1" t="n">
        <v>43572</v>
      </c>
      <c r="C2381" s="1" t="n">
        <v>45227</v>
      </c>
      <c r="D2381" t="inlineStr">
        <is>
          <t>VÄSTRA GÖTALANDS LÄN</t>
        </is>
      </c>
      <c r="E2381" t="inlineStr">
        <is>
          <t>SKÖVDE</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20622-2019</t>
        </is>
      </c>
      <c r="B2382" s="1" t="n">
        <v>43572</v>
      </c>
      <c r="C2382" s="1" t="n">
        <v>45227</v>
      </c>
      <c r="D2382" t="inlineStr">
        <is>
          <t>VÄSTRA GÖTALANDS LÄN</t>
        </is>
      </c>
      <c r="E2382" t="inlineStr">
        <is>
          <t>KARLSBORG</t>
        </is>
      </c>
      <c r="G2382" t="n">
        <v>14.5</v>
      </c>
      <c r="H2382" t="n">
        <v>0</v>
      </c>
      <c r="I2382" t="n">
        <v>0</v>
      </c>
      <c r="J2382" t="n">
        <v>0</v>
      </c>
      <c r="K2382" t="n">
        <v>0</v>
      </c>
      <c r="L2382" t="n">
        <v>0</v>
      </c>
      <c r="M2382" t="n">
        <v>0</v>
      </c>
      <c r="N2382" t="n">
        <v>0</v>
      </c>
      <c r="O2382" t="n">
        <v>0</v>
      </c>
      <c r="P2382" t="n">
        <v>0</v>
      </c>
      <c r="Q2382" t="n">
        <v>0</v>
      </c>
      <c r="R2382" s="2" t="inlineStr"/>
    </row>
    <row r="2383" ht="15" customHeight="1">
      <c r="A2383" t="inlineStr">
        <is>
          <t>A 20552-2019</t>
        </is>
      </c>
      <c r="B2383" s="1" t="n">
        <v>43572</v>
      </c>
      <c r="C2383" s="1" t="n">
        <v>45227</v>
      </c>
      <c r="D2383" t="inlineStr">
        <is>
          <t>VÄSTRA GÖTALANDS LÄN</t>
        </is>
      </c>
      <c r="E2383" t="inlineStr">
        <is>
          <t>MARIESTAD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20557-2019</t>
        </is>
      </c>
      <c r="B2384" s="1" t="n">
        <v>43572</v>
      </c>
      <c r="C2384" s="1" t="n">
        <v>45227</v>
      </c>
      <c r="D2384" t="inlineStr">
        <is>
          <t>VÄSTRA GÖTALANDS LÄN</t>
        </is>
      </c>
      <c r="E2384" t="inlineStr">
        <is>
          <t>KARLSBORG</t>
        </is>
      </c>
      <c r="G2384" t="n">
        <v>10.1</v>
      </c>
      <c r="H2384" t="n">
        <v>0</v>
      </c>
      <c r="I2384" t="n">
        <v>0</v>
      </c>
      <c r="J2384" t="n">
        <v>0</v>
      </c>
      <c r="K2384" t="n">
        <v>0</v>
      </c>
      <c r="L2384" t="n">
        <v>0</v>
      </c>
      <c r="M2384" t="n">
        <v>0</v>
      </c>
      <c r="N2384" t="n">
        <v>0</v>
      </c>
      <c r="O2384" t="n">
        <v>0</v>
      </c>
      <c r="P2384" t="n">
        <v>0</v>
      </c>
      <c r="Q2384" t="n">
        <v>0</v>
      </c>
      <c r="R2384" s="2" t="inlineStr"/>
    </row>
    <row r="2385" ht="15" customHeight="1">
      <c r="A2385" t="inlineStr">
        <is>
          <t>A 20624-2019</t>
        </is>
      </c>
      <c r="B2385" s="1" t="n">
        <v>43572</v>
      </c>
      <c r="C2385" s="1" t="n">
        <v>45227</v>
      </c>
      <c r="D2385" t="inlineStr">
        <is>
          <t>VÄSTRA GÖTALANDS LÄN</t>
        </is>
      </c>
      <c r="E2385" t="inlineStr">
        <is>
          <t>UDDEVALLA</t>
        </is>
      </c>
      <c r="G2385" t="n">
        <v>16.3</v>
      </c>
      <c r="H2385" t="n">
        <v>0</v>
      </c>
      <c r="I2385" t="n">
        <v>0</v>
      </c>
      <c r="J2385" t="n">
        <v>0</v>
      </c>
      <c r="K2385" t="n">
        <v>0</v>
      </c>
      <c r="L2385" t="n">
        <v>0</v>
      </c>
      <c r="M2385" t="n">
        <v>0</v>
      </c>
      <c r="N2385" t="n">
        <v>0</v>
      </c>
      <c r="O2385" t="n">
        <v>0</v>
      </c>
      <c r="P2385" t="n">
        <v>0</v>
      </c>
      <c r="Q2385" t="n">
        <v>0</v>
      </c>
      <c r="R2385" s="2" t="inlineStr"/>
    </row>
    <row r="2386" ht="15" customHeight="1">
      <c r="A2386" t="inlineStr">
        <is>
          <t>A 20763-2019</t>
        </is>
      </c>
      <c r="B2386" s="1" t="n">
        <v>43573</v>
      </c>
      <c r="C2386" s="1" t="n">
        <v>45227</v>
      </c>
      <c r="D2386" t="inlineStr">
        <is>
          <t>VÄSTRA GÖTALANDS LÄN</t>
        </is>
      </c>
      <c r="E2386" t="inlineStr">
        <is>
          <t>BORÅS</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20783-2019</t>
        </is>
      </c>
      <c r="B2387" s="1" t="n">
        <v>43573</v>
      </c>
      <c r="C2387" s="1" t="n">
        <v>45227</v>
      </c>
      <c r="D2387" t="inlineStr">
        <is>
          <t>VÄSTRA GÖTALANDS LÄN</t>
        </is>
      </c>
      <c r="E2387" t="inlineStr">
        <is>
          <t>MELLERUD</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20885-2019</t>
        </is>
      </c>
      <c r="B2388" s="1" t="n">
        <v>43573</v>
      </c>
      <c r="C2388" s="1" t="n">
        <v>45227</v>
      </c>
      <c r="D2388" t="inlineStr">
        <is>
          <t>VÄSTRA GÖTALANDS LÄN</t>
        </is>
      </c>
      <c r="E2388" t="inlineStr">
        <is>
          <t>TRANEMO</t>
        </is>
      </c>
      <c r="F2388" t="inlineStr">
        <is>
          <t>Kommuner</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20830-2019</t>
        </is>
      </c>
      <c r="B2389" s="1" t="n">
        <v>43574</v>
      </c>
      <c r="C2389" s="1" t="n">
        <v>45227</v>
      </c>
      <c r="D2389" t="inlineStr">
        <is>
          <t>VÄSTRA GÖTALANDS LÄN</t>
        </is>
      </c>
      <c r="E2389" t="inlineStr">
        <is>
          <t>UDDEVALLA</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20848-2019</t>
        </is>
      </c>
      <c r="B2390" s="1" t="n">
        <v>43577</v>
      </c>
      <c r="C2390" s="1" t="n">
        <v>45227</v>
      </c>
      <c r="D2390" t="inlineStr">
        <is>
          <t>VÄSTRA GÖTALANDS LÄN</t>
        </is>
      </c>
      <c r="E2390" t="inlineStr">
        <is>
          <t>TANUM</t>
        </is>
      </c>
      <c r="G2390" t="n">
        <v>2.5</v>
      </c>
      <c r="H2390" t="n">
        <v>0</v>
      </c>
      <c r="I2390" t="n">
        <v>0</v>
      </c>
      <c r="J2390" t="n">
        <v>0</v>
      </c>
      <c r="K2390" t="n">
        <v>0</v>
      </c>
      <c r="L2390" t="n">
        <v>0</v>
      </c>
      <c r="M2390" t="n">
        <v>0</v>
      </c>
      <c r="N2390" t="n">
        <v>0</v>
      </c>
      <c r="O2390" t="n">
        <v>0</v>
      </c>
      <c r="P2390" t="n">
        <v>0</v>
      </c>
      <c r="Q2390" t="n">
        <v>0</v>
      </c>
      <c r="R2390" s="2" t="inlineStr"/>
    </row>
    <row r="2391" ht="15" customHeight="1">
      <c r="A2391" t="inlineStr">
        <is>
          <t>A 20908-2019</t>
        </is>
      </c>
      <c r="B2391" s="1" t="n">
        <v>43578</v>
      </c>
      <c r="C2391" s="1" t="n">
        <v>45227</v>
      </c>
      <c r="D2391" t="inlineStr">
        <is>
          <t>VÄSTRA GÖTALANDS LÄN</t>
        </is>
      </c>
      <c r="E2391" t="inlineStr">
        <is>
          <t>MELLERUD</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20971-2019</t>
        </is>
      </c>
      <c r="B2392" s="1" t="n">
        <v>43578</v>
      </c>
      <c r="C2392" s="1" t="n">
        <v>45227</v>
      </c>
      <c r="D2392" t="inlineStr">
        <is>
          <t>VÄSTRA GÖTALANDS LÄN</t>
        </is>
      </c>
      <c r="E2392" t="inlineStr">
        <is>
          <t>FALKÖPING</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20981-2019</t>
        </is>
      </c>
      <c r="B2393" s="1" t="n">
        <v>43578</v>
      </c>
      <c r="C2393" s="1" t="n">
        <v>45227</v>
      </c>
      <c r="D2393" t="inlineStr">
        <is>
          <t>VÄSTRA GÖTALANDS LÄN</t>
        </is>
      </c>
      <c r="E2393" t="inlineStr">
        <is>
          <t>BENGTSFORS</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21049-2019</t>
        </is>
      </c>
      <c r="B2394" s="1" t="n">
        <v>43578</v>
      </c>
      <c r="C2394" s="1" t="n">
        <v>45227</v>
      </c>
      <c r="D2394" t="inlineStr">
        <is>
          <t>VÄSTRA GÖTALANDS LÄN</t>
        </is>
      </c>
      <c r="E2394" t="inlineStr">
        <is>
          <t>ULRICEHAMN</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21064-2019</t>
        </is>
      </c>
      <c r="B2395" s="1" t="n">
        <v>43578</v>
      </c>
      <c r="C2395" s="1" t="n">
        <v>45227</v>
      </c>
      <c r="D2395" t="inlineStr">
        <is>
          <t>VÄSTRA GÖTALANDS LÄN</t>
        </is>
      </c>
      <c r="E2395" t="inlineStr">
        <is>
          <t>TROLLHÄTTAN</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20870-2019</t>
        </is>
      </c>
      <c r="B2396" s="1" t="n">
        <v>43578</v>
      </c>
      <c r="C2396" s="1" t="n">
        <v>45227</v>
      </c>
      <c r="D2396" t="inlineStr">
        <is>
          <t>VÄSTRA GÖTALANDS LÄN</t>
        </is>
      </c>
      <c r="E2396" t="inlineStr">
        <is>
          <t>ULRICEHAMN</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20977-2019</t>
        </is>
      </c>
      <c r="B2397" s="1" t="n">
        <v>43578</v>
      </c>
      <c r="C2397" s="1" t="n">
        <v>45227</v>
      </c>
      <c r="D2397" t="inlineStr">
        <is>
          <t>VÄSTRA GÖTALANDS LÄN</t>
        </is>
      </c>
      <c r="E2397" t="inlineStr">
        <is>
          <t>ALINGSÅS</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20990-2019</t>
        </is>
      </c>
      <c r="B2398" s="1" t="n">
        <v>43578</v>
      </c>
      <c r="C2398" s="1" t="n">
        <v>45227</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20999-2019</t>
        </is>
      </c>
      <c r="B2399" s="1" t="n">
        <v>43578</v>
      </c>
      <c r="C2399" s="1" t="n">
        <v>45227</v>
      </c>
      <c r="D2399" t="inlineStr">
        <is>
          <t>VÄSTRA GÖTALANDS LÄN</t>
        </is>
      </c>
      <c r="E2399" t="inlineStr">
        <is>
          <t>ULRICEHAMN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21017-2019</t>
        </is>
      </c>
      <c r="B2400" s="1" t="n">
        <v>43578</v>
      </c>
      <c r="C2400" s="1" t="n">
        <v>45227</v>
      </c>
      <c r="D2400" t="inlineStr">
        <is>
          <t>VÄSTRA GÖTALANDS LÄN</t>
        </is>
      </c>
      <c r="E2400" t="inlineStr">
        <is>
          <t>TRANEMO</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20935-2019</t>
        </is>
      </c>
      <c r="B2401" s="1" t="n">
        <v>43578</v>
      </c>
      <c r="C2401" s="1" t="n">
        <v>45227</v>
      </c>
      <c r="D2401" t="inlineStr">
        <is>
          <t>VÄSTRA GÖTALANDS LÄN</t>
        </is>
      </c>
      <c r="E2401" t="inlineStr">
        <is>
          <t>MARK</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20954-2019</t>
        </is>
      </c>
      <c r="B2402" s="1" t="n">
        <v>43578</v>
      </c>
      <c r="C2402" s="1" t="n">
        <v>45227</v>
      </c>
      <c r="D2402" t="inlineStr">
        <is>
          <t>VÄSTRA GÖTALANDS LÄN</t>
        </is>
      </c>
      <c r="E2402" t="inlineStr">
        <is>
          <t>ULRICEHAMN</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20997-2019</t>
        </is>
      </c>
      <c r="B2403" s="1" t="n">
        <v>43578</v>
      </c>
      <c r="C2403" s="1" t="n">
        <v>45227</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21070-2019</t>
        </is>
      </c>
      <c r="B2404" s="1" t="n">
        <v>43578</v>
      </c>
      <c r="C2404" s="1" t="n">
        <v>45227</v>
      </c>
      <c r="D2404" t="inlineStr">
        <is>
          <t>VÄSTRA GÖTALANDS LÄN</t>
        </is>
      </c>
      <c r="E2404" t="inlineStr">
        <is>
          <t>MARK</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20979-2019</t>
        </is>
      </c>
      <c r="B2405" s="1" t="n">
        <v>43578</v>
      </c>
      <c r="C2405" s="1" t="n">
        <v>45227</v>
      </c>
      <c r="D2405" t="inlineStr">
        <is>
          <t>VÄSTRA GÖTALANDS LÄN</t>
        </is>
      </c>
      <c r="E2405" t="inlineStr">
        <is>
          <t>DALS-ED</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20994-2019</t>
        </is>
      </c>
      <c r="B2406" s="1" t="n">
        <v>43578</v>
      </c>
      <c r="C2406" s="1" t="n">
        <v>45227</v>
      </c>
      <c r="D2406" t="inlineStr">
        <is>
          <t>VÄSTRA GÖTALANDS LÄN</t>
        </is>
      </c>
      <c r="E2406" t="inlineStr">
        <is>
          <t>ULRICEHAMN</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21021-2019</t>
        </is>
      </c>
      <c r="B2407" s="1" t="n">
        <v>43578</v>
      </c>
      <c r="C2407" s="1" t="n">
        <v>45227</v>
      </c>
      <c r="D2407" t="inlineStr">
        <is>
          <t>VÄSTRA GÖTALANDS LÄN</t>
        </is>
      </c>
      <c r="E2407" t="inlineStr">
        <is>
          <t>HERRLJUNGA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21178-2019</t>
        </is>
      </c>
      <c r="B2408" s="1" t="n">
        <v>43579</v>
      </c>
      <c r="C2408" s="1" t="n">
        <v>45227</v>
      </c>
      <c r="D2408" t="inlineStr">
        <is>
          <t>VÄSTRA GÖTALANDS LÄN</t>
        </is>
      </c>
      <c r="E2408" t="inlineStr">
        <is>
          <t>LILLA EDET</t>
        </is>
      </c>
      <c r="G2408" t="n">
        <v>7.3</v>
      </c>
      <c r="H2408" t="n">
        <v>0</v>
      </c>
      <c r="I2408" t="n">
        <v>0</v>
      </c>
      <c r="J2408" t="n">
        <v>0</v>
      </c>
      <c r="K2408" t="n">
        <v>0</v>
      </c>
      <c r="L2408" t="n">
        <v>0</v>
      </c>
      <c r="M2408" t="n">
        <v>0</v>
      </c>
      <c r="N2408" t="n">
        <v>0</v>
      </c>
      <c r="O2408" t="n">
        <v>0</v>
      </c>
      <c r="P2408" t="n">
        <v>0</v>
      </c>
      <c r="Q2408" t="n">
        <v>0</v>
      </c>
      <c r="R2408" s="2" t="inlineStr"/>
    </row>
    <row r="2409" ht="15" customHeight="1">
      <c r="A2409" t="inlineStr">
        <is>
          <t>A 21236-2019</t>
        </is>
      </c>
      <c r="B2409" s="1" t="n">
        <v>43579</v>
      </c>
      <c r="C2409" s="1" t="n">
        <v>45227</v>
      </c>
      <c r="D2409" t="inlineStr">
        <is>
          <t>VÄSTRA GÖTALANDS LÄN</t>
        </is>
      </c>
      <c r="E2409" t="inlineStr">
        <is>
          <t>MARK</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21262-2019</t>
        </is>
      </c>
      <c r="B2410" s="1" t="n">
        <v>43579</v>
      </c>
      <c r="C2410" s="1" t="n">
        <v>45227</v>
      </c>
      <c r="D2410" t="inlineStr">
        <is>
          <t>VÄSTRA GÖTALANDS LÄN</t>
        </is>
      </c>
      <c r="E2410" t="inlineStr">
        <is>
          <t>TIDAHOLM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21126-2019</t>
        </is>
      </c>
      <c r="B2411" s="1" t="n">
        <v>43579</v>
      </c>
      <c r="C2411" s="1" t="n">
        <v>45227</v>
      </c>
      <c r="D2411" t="inlineStr">
        <is>
          <t>VÄSTRA GÖTALANDS LÄN</t>
        </is>
      </c>
      <c r="E2411" t="inlineStr">
        <is>
          <t>BENGTSFORS</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21194-2019</t>
        </is>
      </c>
      <c r="B2412" s="1" t="n">
        <v>43579</v>
      </c>
      <c r="C2412" s="1" t="n">
        <v>45227</v>
      </c>
      <c r="D2412" t="inlineStr">
        <is>
          <t>VÄSTRA GÖTALANDS LÄN</t>
        </is>
      </c>
      <c r="E2412" t="inlineStr">
        <is>
          <t>ÅMÅL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21230-2019</t>
        </is>
      </c>
      <c r="B2413" s="1" t="n">
        <v>43579</v>
      </c>
      <c r="C2413" s="1" t="n">
        <v>45227</v>
      </c>
      <c r="D2413" t="inlineStr">
        <is>
          <t>VÄSTRA GÖTALANDS LÄN</t>
        </is>
      </c>
      <c r="E2413" t="inlineStr">
        <is>
          <t>MARK</t>
        </is>
      </c>
      <c r="G2413" t="n">
        <v>0.5</v>
      </c>
      <c r="H2413" t="n">
        <v>0</v>
      </c>
      <c r="I2413" t="n">
        <v>0</v>
      </c>
      <c r="J2413" t="n">
        <v>0</v>
      </c>
      <c r="K2413" t="n">
        <v>0</v>
      </c>
      <c r="L2413" t="n">
        <v>0</v>
      </c>
      <c r="M2413" t="n">
        <v>0</v>
      </c>
      <c r="N2413" t="n">
        <v>0</v>
      </c>
      <c r="O2413" t="n">
        <v>0</v>
      </c>
      <c r="P2413" t="n">
        <v>0</v>
      </c>
      <c r="Q2413" t="n">
        <v>0</v>
      </c>
      <c r="R2413" s="2" t="inlineStr"/>
    </row>
    <row r="2414" ht="15" customHeight="1">
      <c r="A2414" t="inlineStr">
        <is>
          <t>A 21359-2019</t>
        </is>
      </c>
      <c r="B2414" s="1" t="n">
        <v>43579</v>
      </c>
      <c r="C2414" s="1" t="n">
        <v>45227</v>
      </c>
      <c r="D2414" t="inlineStr">
        <is>
          <t>VÄSTRA GÖTALANDS LÄN</t>
        </is>
      </c>
      <c r="E2414" t="inlineStr">
        <is>
          <t>TÖREBODA</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21130-2019</t>
        </is>
      </c>
      <c r="B2415" s="1" t="n">
        <v>43579</v>
      </c>
      <c r="C2415" s="1" t="n">
        <v>45227</v>
      </c>
      <c r="D2415" t="inlineStr">
        <is>
          <t>VÄSTRA GÖTALANDS LÄN</t>
        </is>
      </c>
      <c r="E2415" t="inlineStr">
        <is>
          <t>MELLERUD</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21160-2019</t>
        </is>
      </c>
      <c r="B2416" s="1" t="n">
        <v>43579</v>
      </c>
      <c r="C2416" s="1" t="n">
        <v>45227</v>
      </c>
      <c r="D2416" t="inlineStr">
        <is>
          <t>VÄSTRA GÖTALANDS LÄN</t>
        </is>
      </c>
      <c r="E2416" t="inlineStr">
        <is>
          <t>FÄRGELANDA</t>
        </is>
      </c>
      <c r="G2416" t="n">
        <v>3.6</v>
      </c>
      <c r="H2416" t="n">
        <v>0</v>
      </c>
      <c r="I2416" t="n">
        <v>0</v>
      </c>
      <c r="J2416" t="n">
        <v>0</v>
      </c>
      <c r="K2416" t="n">
        <v>0</v>
      </c>
      <c r="L2416" t="n">
        <v>0</v>
      </c>
      <c r="M2416" t="n">
        <v>0</v>
      </c>
      <c r="N2416" t="n">
        <v>0</v>
      </c>
      <c r="O2416" t="n">
        <v>0</v>
      </c>
      <c r="P2416" t="n">
        <v>0</v>
      </c>
      <c r="Q2416" t="n">
        <v>0</v>
      </c>
      <c r="R2416" s="2" t="inlineStr"/>
    </row>
    <row r="2417" ht="15" customHeight="1">
      <c r="A2417" t="inlineStr">
        <is>
          <t>A 21267-2019</t>
        </is>
      </c>
      <c r="B2417" s="1" t="n">
        <v>43579</v>
      </c>
      <c r="C2417" s="1" t="n">
        <v>45227</v>
      </c>
      <c r="D2417" t="inlineStr">
        <is>
          <t>VÄSTRA GÖTALANDS LÄN</t>
        </is>
      </c>
      <c r="E2417" t="inlineStr">
        <is>
          <t>TANUM</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21306-2019</t>
        </is>
      </c>
      <c r="B2418" s="1" t="n">
        <v>43579</v>
      </c>
      <c r="C2418" s="1" t="n">
        <v>45227</v>
      </c>
      <c r="D2418" t="inlineStr">
        <is>
          <t>VÄSTRA GÖTALANDS LÄN</t>
        </is>
      </c>
      <c r="E2418" t="inlineStr">
        <is>
          <t>BENGTSFORS</t>
        </is>
      </c>
      <c r="G2418" t="n">
        <v>4.1</v>
      </c>
      <c r="H2418" t="n">
        <v>0</v>
      </c>
      <c r="I2418" t="n">
        <v>0</v>
      </c>
      <c r="J2418" t="n">
        <v>0</v>
      </c>
      <c r="K2418" t="n">
        <v>0</v>
      </c>
      <c r="L2418" t="n">
        <v>0</v>
      </c>
      <c r="M2418" t="n">
        <v>0</v>
      </c>
      <c r="N2418" t="n">
        <v>0</v>
      </c>
      <c r="O2418" t="n">
        <v>0</v>
      </c>
      <c r="P2418" t="n">
        <v>0</v>
      </c>
      <c r="Q2418" t="n">
        <v>0</v>
      </c>
      <c r="R2418" s="2" t="inlineStr"/>
    </row>
    <row r="2419" ht="15" customHeight="1">
      <c r="A2419" t="inlineStr">
        <is>
          <t>A 21412-2019</t>
        </is>
      </c>
      <c r="B2419" s="1" t="n">
        <v>43580</v>
      </c>
      <c r="C2419" s="1" t="n">
        <v>45227</v>
      </c>
      <c r="D2419" t="inlineStr">
        <is>
          <t>VÄSTRA GÖTALANDS LÄN</t>
        </is>
      </c>
      <c r="E2419" t="inlineStr">
        <is>
          <t>TANUM</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21587-2019</t>
        </is>
      </c>
      <c r="B2420" s="1" t="n">
        <v>43580</v>
      </c>
      <c r="C2420" s="1" t="n">
        <v>45227</v>
      </c>
      <c r="D2420" t="inlineStr">
        <is>
          <t>VÄSTRA GÖTALANDS LÄN</t>
        </is>
      </c>
      <c r="E2420" t="inlineStr">
        <is>
          <t>GÖTENE</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21429-2019</t>
        </is>
      </c>
      <c r="B2421" s="1" t="n">
        <v>43580</v>
      </c>
      <c r="C2421" s="1" t="n">
        <v>45227</v>
      </c>
      <c r="D2421" t="inlineStr">
        <is>
          <t>VÄSTRA GÖTALANDS LÄN</t>
        </is>
      </c>
      <c r="E2421" t="inlineStr">
        <is>
          <t>BORÅS</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21641-2019</t>
        </is>
      </c>
      <c r="B2422" s="1" t="n">
        <v>43581</v>
      </c>
      <c r="C2422" s="1" t="n">
        <v>45227</v>
      </c>
      <c r="D2422" t="inlineStr">
        <is>
          <t>VÄSTRA GÖTALANDS LÄN</t>
        </is>
      </c>
      <c r="E2422" t="inlineStr">
        <is>
          <t>GULLSPÅNG</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21749-2019</t>
        </is>
      </c>
      <c r="B2423" s="1" t="n">
        <v>43581</v>
      </c>
      <c r="C2423" s="1" t="n">
        <v>45227</v>
      </c>
      <c r="D2423" t="inlineStr">
        <is>
          <t>VÄSTRA GÖTALANDS LÄN</t>
        </is>
      </c>
      <c r="E2423" t="inlineStr">
        <is>
          <t>BORÅS</t>
        </is>
      </c>
      <c r="F2423" t="inlineStr">
        <is>
          <t>Kommuner</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21621-2019</t>
        </is>
      </c>
      <c r="B2424" s="1" t="n">
        <v>43581</v>
      </c>
      <c r="C2424" s="1" t="n">
        <v>45227</v>
      </c>
      <c r="D2424" t="inlineStr">
        <is>
          <t>VÄSTRA GÖTALANDS LÄN</t>
        </is>
      </c>
      <c r="E2424" t="inlineStr">
        <is>
          <t>ULRICEHAMN</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21673-2019</t>
        </is>
      </c>
      <c r="B2425" s="1" t="n">
        <v>43581</v>
      </c>
      <c r="C2425" s="1" t="n">
        <v>45227</v>
      </c>
      <c r="D2425" t="inlineStr">
        <is>
          <t>VÄSTRA GÖTALANDS LÄN</t>
        </is>
      </c>
      <c r="E2425" t="inlineStr">
        <is>
          <t>HERRLJUNGA</t>
        </is>
      </c>
      <c r="G2425" t="n">
        <v>3.8</v>
      </c>
      <c r="H2425" t="n">
        <v>0</v>
      </c>
      <c r="I2425" t="n">
        <v>0</v>
      </c>
      <c r="J2425" t="n">
        <v>0</v>
      </c>
      <c r="K2425" t="n">
        <v>0</v>
      </c>
      <c r="L2425" t="n">
        <v>0</v>
      </c>
      <c r="M2425" t="n">
        <v>0</v>
      </c>
      <c r="N2425" t="n">
        <v>0</v>
      </c>
      <c r="O2425" t="n">
        <v>0</v>
      </c>
      <c r="P2425" t="n">
        <v>0</v>
      </c>
      <c r="Q2425" t="n">
        <v>0</v>
      </c>
      <c r="R2425" s="2" t="inlineStr"/>
    </row>
    <row r="2426" ht="15" customHeight="1">
      <c r="A2426" t="inlineStr">
        <is>
          <t>A 21845-2019</t>
        </is>
      </c>
      <c r="B2426" s="1" t="n">
        <v>43584</v>
      </c>
      <c r="C2426" s="1" t="n">
        <v>45227</v>
      </c>
      <c r="D2426" t="inlineStr">
        <is>
          <t>VÄSTRA GÖTALANDS LÄN</t>
        </is>
      </c>
      <c r="E2426" t="inlineStr">
        <is>
          <t>KARLSBORG</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21902-2019</t>
        </is>
      </c>
      <c r="B2427" s="1" t="n">
        <v>43584</v>
      </c>
      <c r="C2427" s="1" t="n">
        <v>45227</v>
      </c>
      <c r="D2427" t="inlineStr">
        <is>
          <t>VÄSTRA GÖTALANDS LÄN</t>
        </is>
      </c>
      <c r="E2427" t="inlineStr">
        <is>
          <t>ALINGSÅS</t>
        </is>
      </c>
      <c r="G2427" t="n">
        <v>1.3</v>
      </c>
      <c r="H2427" t="n">
        <v>0</v>
      </c>
      <c r="I2427" t="n">
        <v>0</v>
      </c>
      <c r="J2427" t="n">
        <v>0</v>
      </c>
      <c r="K2427" t="n">
        <v>0</v>
      </c>
      <c r="L2427" t="n">
        <v>0</v>
      </c>
      <c r="M2427" t="n">
        <v>0</v>
      </c>
      <c r="N2427" t="n">
        <v>0</v>
      </c>
      <c r="O2427" t="n">
        <v>0</v>
      </c>
      <c r="P2427" t="n">
        <v>0</v>
      </c>
      <c r="Q2427" t="n">
        <v>0</v>
      </c>
      <c r="R2427" s="2" t="inlineStr"/>
    </row>
    <row r="2428" ht="15" customHeight="1">
      <c r="A2428" t="inlineStr">
        <is>
          <t>A 21885-2019</t>
        </is>
      </c>
      <c r="B2428" s="1" t="n">
        <v>43584</v>
      </c>
      <c r="C2428" s="1" t="n">
        <v>45227</v>
      </c>
      <c r="D2428" t="inlineStr">
        <is>
          <t>VÄSTRA GÖTALANDS LÄN</t>
        </is>
      </c>
      <c r="E2428" t="inlineStr">
        <is>
          <t>STENUNGSUND</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21992-2019</t>
        </is>
      </c>
      <c r="B2429" s="1" t="n">
        <v>43584</v>
      </c>
      <c r="C2429" s="1" t="n">
        <v>45227</v>
      </c>
      <c r="D2429" t="inlineStr">
        <is>
          <t>VÄSTRA GÖTALANDS LÄN</t>
        </is>
      </c>
      <c r="E2429" t="inlineStr">
        <is>
          <t>TRANEMO</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21866-2019</t>
        </is>
      </c>
      <c r="B2430" s="1" t="n">
        <v>43584</v>
      </c>
      <c r="C2430" s="1" t="n">
        <v>45227</v>
      </c>
      <c r="D2430" t="inlineStr">
        <is>
          <t>VÄSTRA GÖTALANDS LÄN</t>
        </is>
      </c>
      <c r="E2430" t="inlineStr">
        <is>
          <t>TANUM</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21910-2019</t>
        </is>
      </c>
      <c r="B2431" s="1" t="n">
        <v>43584</v>
      </c>
      <c r="C2431" s="1" t="n">
        <v>45227</v>
      </c>
      <c r="D2431" t="inlineStr">
        <is>
          <t>VÄSTRA GÖTALANDS LÄN</t>
        </is>
      </c>
      <c r="E2431" t="inlineStr">
        <is>
          <t>ÅMÅL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22080-2019</t>
        </is>
      </c>
      <c r="B2432" s="1" t="n">
        <v>43584</v>
      </c>
      <c r="C2432" s="1" t="n">
        <v>45227</v>
      </c>
      <c r="D2432" t="inlineStr">
        <is>
          <t>VÄSTRA GÖTALANDS LÄN</t>
        </is>
      </c>
      <c r="E2432" t="inlineStr">
        <is>
          <t>TANUM</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22110-2019</t>
        </is>
      </c>
      <c r="B2433" s="1" t="n">
        <v>43585</v>
      </c>
      <c r="C2433" s="1" t="n">
        <v>45227</v>
      </c>
      <c r="D2433" t="inlineStr">
        <is>
          <t>VÄSTRA GÖTALANDS LÄN</t>
        </is>
      </c>
      <c r="E2433" t="inlineStr">
        <is>
          <t>SVENLJUNGA</t>
        </is>
      </c>
      <c r="G2433" t="n">
        <v>2.8</v>
      </c>
      <c r="H2433" t="n">
        <v>0</v>
      </c>
      <c r="I2433" t="n">
        <v>0</v>
      </c>
      <c r="J2433" t="n">
        <v>0</v>
      </c>
      <c r="K2433" t="n">
        <v>0</v>
      </c>
      <c r="L2433" t="n">
        <v>0</v>
      </c>
      <c r="M2433" t="n">
        <v>0</v>
      </c>
      <c r="N2433" t="n">
        <v>0</v>
      </c>
      <c r="O2433" t="n">
        <v>0</v>
      </c>
      <c r="P2433" t="n">
        <v>0</v>
      </c>
      <c r="Q2433" t="n">
        <v>0</v>
      </c>
      <c r="R2433" s="2" t="inlineStr"/>
    </row>
    <row r="2434" ht="15" customHeight="1">
      <c r="A2434" t="inlineStr">
        <is>
          <t>A 22182-2019</t>
        </is>
      </c>
      <c r="B2434" s="1" t="n">
        <v>43585</v>
      </c>
      <c r="C2434" s="1" t="n">
        <v>45227</v>
      </c>
      <c r="D2434" t="inlineStr">
        <is>
          <t>VÄSTRA GÖTALANDS LÄN</t>
        </is>
      </c>
      <c r="E2434" t="inlineStr">
        <is>
          <t>BORÅS</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22215-2019</t>
        </is>
      </c>
      <c r="B2435" s="1" t="n">
        <v>43585</v>
      </c>
      <c r="C2435" s="1" t="n">
        <v>45227</v>
      </c>
      <c r="D2435" t="inlineStr">
        <is>
          <t>VÄSTRA GÖTALANDS LÄN</t>
        </is>
      </c>
      <c r="E2435" t="inlineStr">
        <is>
          <t>BORÅS</t>
        </is>
      </c>
      <c r="G2435" t="n">
        <v>7.7</v>
      </c>
      <c r="H2435" t="n">
        <v>0</v>
      </c>
      <c r="I2435" t="n">
        <v>0</v>
      </c>
      <c r="J2435" t="n">
        <v>0</v>
      </c>
      <c r="K2435" t="n">
        <v>0</v>
      </c>
      <c r="L2435" t="n">
        <v>0</v>
      </c>
      <c r="M2435" t="n">
        <v>0</v>
      </c>
      <c r="N2435" t="n">
        <v>0</v>
      </c>
      <c r="O2435" t="n">
        <v>0</v>
      </c>
      <c r="P2435" t="n">
        <v>0</v>
      </c>
      <c r="Q2435" t="n">
        <v>0</v>
      </c>
      <c r="R2435" s="2" t="inlineStr"/>
    </row>
    <row r="2436" ht="15" customHeight="1">
      <c r="A2436" t="inlineStr">
        <is>
          <t>A 22209-2019</t>
        </is>
      </c>
      <c r="B2436" s="1" t="n">
        <v>43585</v>
      </c>
      <c r="C2436" s="1" t="n">
        <v>45227</v>
      </c>
      <c r="D2436" t="inlineStr">
        <is>
          <t>VÄSTRA GÖTALANDS LÄN</t>
        </is>
      </c>
      <c r="E2436" t="inlineStr">
        <is>
          <t>ULRICEHAMN</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22225-2019</t>
        </is>
      </c>
      <c r="B2437" s="1" t="n">
        <v>43585</v>
      </c>
      <c r="C2437" s="1" t="n">
        <v>45227</v>
      </c>
      <c r="D2437" t="inlineStr">
        <is>
          <t>VÄSTRA GÖTALANDS LÄN</t>
        </is>
      </c>
      <c r="E2437" t="inlineStr">
        <is>
          <t>MARIESTAD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22335-2019</t>
        </is>
      </c>
      <c r="B2438" s="1" t="n">
        <v>43586</v>
      </c>
      <c r="C2438" s="1" t="n">
        <v>45227</v>
      </c>
      <c r="D2438" t="inlineStr">
        <is>
          <t>VÄSTRA GÖTALANDS LÄN</t>
        </is>
      </c>
      <c r="E2438" t="inlineStr">
        <is>
          <t>HJO</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22336-2019</t>
        </is>
      </c>
      <c r="B2439" s="1" t="n">
        <v>43586</v>
      </c>
      <c r="C2439" s="1" t="n">
        <v>45227</v>
      </c>
      <c r="D2439" t="inlineStr">
        <is>
          <t>VÄSTRA GÖTALANDS LÄN</t>
        </is>
      </c>
      <c r="E2439" t="inlineStr">
        <is>
          <t>HJO</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22321-2019</t>
        </is>
      </c>
      <c r="B2440" s="1" t="n">
        <v>43586</v>
      </c>
      <c r="C2440" s="1" t="n">
        <v>45227</v>
      </c>
      <c r="D2440" t="inlineStr">
        <is>
          <t>VÄSTRA GÖTALANDS LÄN</t>
        </is>
      </c>
      <c r="E2440" t="inlineStr">
        <is>
          <t>LILLA EDET</t>
        </is>
      </c>
      <c r="G2440" t="n">
        <v>0.3</v>
      </c>
      <c r="H2440" t="n">
        <v>0</v>
      </c>
      <c r="I2440" t="n">
        <v>0</v>
      </c>
      <c r="J2440" t="n">
        <v>0</v>
      </c>
      <c r="K2440" t="n">
        <v>0</v>
      </c>
      <c r="L2440" t="n">
        <v>0</v>
      </c>
      <c r="M2440" t="n">
        <v>0</v>
      </c>
      <c r="N2440" t="n">
        <v>0</v>
      </c>
      <c r="O2440" t="n">
        <v>0</v>
      </c>
      <c r="P2440" t="n">
        <v>0</v>
      </c>
      <c r="Q2440" t="n">
        <v>0</v>
      </c>
      <c r="R2440" s="2" t="inlineStr"/>
    </row>
    <row r="2441" ht="15" customHeight="1">
      <c r="A2441" t="inlineStr">
        <is>
          <t>A 22337-2019</t>
        </is>
      </c>
      <c r="B2441" s="1" t="n">
        <v>43586</v>
      </c>
      <c r="C2441" s="1" t="n">
        <v>45227</v>
      </c>
      <c r="D2441" t="inlineStr">
        <is>
          <t>VÄSTRA GÖTALANDS LÄN</t>
        </is>
      </c>
      <c r="E2441" t="inlineStr">
        <is>
          <t>HJO</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22334-2019</t>
        </is>
      </c>
      <c r="B2442" s="1" t="n">
        <v>43586</v>
      </c>
      <c r="C2442" s="1" t="n">
        <v>45227</v>
      </c>
      <c r="D2442" t="inlineStr">
        <is>
          <t>VÄSTRA GÖTALANDS LÄN</t>
        </is>
      </c>
      <c r="E2442" t="inlineStr">
        <is>
          <t>HJO</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22550-2019</t>
        </is>
      </c>
      <c r="B2443" s="1" t="n">
        <v>43587</v>
      </c>
      <c r="C2443" s="1" t="n">
        <v>45227</v>
      </c>
      <c r="D2443" t="inlineStr">
        <is>
          <t>VÄSTRA GÖTALANDS LÄN</t>
        </is>
      </c>
      <c r="E2443" t="inlineStr">
        <is>
          <t>BENGTSFORS</t>
        </is>
      </c>
      <c r="F2443" t="inlineStr">
        <is>
          <t>Kyrkan</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22554-2019</t>
        </is>
      </c>
      <c r="B2444" s="1" t="n">
        <v>43587</v>
      </c>
      <c r="C2444" s="1" t="n">
        <v>45227</v>
      </c>
      <c r="D2444" t="inlineStr">
        <is>
          <t>VÄSTRA GÖTALANDS LÄN</t>
        </is>
      </c>
      <c r="E2444" t="inlineStr">
        <is>
          <t>DALS-ED</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22662-2019</t>
        </is>
      </c>
      <c r="B2445" s="1" t="n">
        <v>43587</v>
      </c>
      <c r="C2445" s="1" t="n">
        <v>45227</v>
      </c>
      <c r="D2445" t="inlineStr">
        <is>
          <t>VÄSTRA GÖTALANDS LÄN</t>
        </is>
      </c>
      <c r="E2445" t="inlineStr">
        <is>
          <t>DALS-ED</t>
        </is>
      </c>
      <c r="G2445" t="n">
        <v>3.6</v>
      </c>
      <c r="H2445" t="n">
        <v>0</v>
      </c>
      <c r="I2445" t="n">
        <v>0</v>
      </c>
      <c r="J2445" t="n">
        <v>0</v>
      </c>
      <c r="K2445" t="n">
        <v>0</v>
      </c>
      <c r="L2445" t="n">
        <v>0</v>
      </c>
      <c r="M2445" t="n">
        <v>0</v>
      </c>
      <c r="N2445" t="n">
        <v>0</v>
      </c>
      <c r="O2445" t="n">
        <v>0</v>
      </c>
      <c r="P2445" t="n">
        <v>0</v>
      </c>
      <c r="Q2445" t="n">
        <v>0</v>
      </c>
      <c r="R2445" s="2" t="inlineStr"/>
    </row>
    <row r="2446" ht="15" customHeight="1">
      <c r="A2446" t="inlineStr">
        <is>
          <t>A 23623-2019</t>
        </is>
      </c>
      <c r="B2446" s="1" t="n">
        <v>43587</v>
      </c>
      <c r="C2446" s="1" t="n">
        <v>45227</v>
      </c>
      <c r="D2446" t="inlineStr">
        <is>
          <t>VÄSTRA GÖTALANDS LÄN</t>
        </is>
      </c>
      <c r="E2446" t="inlineStr">
        <is>
          <t>DALS-ED</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22409-2019</t>
        </is>
      </c>
      <c r="B2447" s="1" t="n">
        <v>43587</v>
      </c>
      <c r="C2447" s="1" t="n">
        <v>45227</v>
      </c>
      <c r="D2447" t="inlineStr">
        <is>
          <t>VÄSTRA GÖTALANDS LÄN</t>
        </is>
      </c>
      <c r="E2447" t="inlineStr">
        <is>
          <t>BOLLEBYGD</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22530-2019</t>
        </is>
      </c>
      <c r="B2448" s="1" t="n">
        <v>43587</v>
      </c>
      <c r="C2448" s="1" t="n">
        <v>45227</v>
      </c>
      <c r="D2448" t="inlineStr">
        <is>
          <t>VÄSTRA GÖTALANDS LÄN</t>
        </is>
      </c>
      <c r="E2448" t="inlineStr">
        <is>
          <t>HÄRRYDA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23597-2019</t>
        </is>
      </c>
      <c r="B2449" s="1" t="n">
        <v>43587</v>
      </c>
      <c r="C2449" s="1" t="n">
        <v>45227</v>
      </c>
      <c r="D2449" t="inlineStr">
        <is>
          <t>VÄSTRA GÖTALANDS LÄN</t>
        </is>
      </c>
      <c r="E2449" t="inlineStr">
        <is>
          <t>DALS-ED</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22527-2019</t>
        </is>
      </c>
      <c r="B2450" s="1" t="n">
        <v>43587</v>
      </c>
      <c r="C2450" s="1" t="n">
        <v>45227</v>
      </c>
      <c r="D2450" t="inlineStr">
        <is>
          <t>VÄSTRA GÖTALANDS LÄN</t>
        </is>
      </c>
      <c r="E2450" t="inlineStr">
        <is>
          <t>VARA</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22667-2019</t>
        </is>
      </c>
      <c r="B2451" s="1" t="n">
        <v>43587</v>
      </c>
      <c r="C2451" s="1" t="n">
        <v>45227</v>
      </c>
      <c r="D2451" t="inlineStr">
        <is>
          <t>VÄSTRA GÖTALANDS LÄN</t>
        </is>
      </c>
      <c r="E2451" t="inlineStr">
        <is>
          <t>DALS-ED</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23634-2019</t>
        </is>
      </c>
      <c r="B2452" s="1" t="n">
        <v>43587</v>
      </c>
      <c r="C2452" s="1" t="n">
        <v>45227</v>
      </c>
      <c r="D2452" t="inlineStr">
        <is>
          <t>VÄSTRA GÖTALANDS LÄN</t>
        </is>
      </c>
      <c r="E2452" t="inlineStr">
        <is>
          <t>DALS-ED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22706-2019</t>
        </is>
      </c>
      <c r="B2453" s="1" t="n">
        <v>43588</v>
      </c>
      <c r="C2453" s="1" t="n">
        <v>45227</v>
      </c>
      <c r="D2453" t="inlineStr">
        <is>
          <t>VÄSTRA GÖTALANDS LÄN</t>
        </is>
      </c>
      <c r="E2453" t="inlineStr">
        <is>
          <t>MUNKEDAL</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22741-2019</t>
        </is>
      </c>
      <c r="B2454" s="1" t="n">
        <v>43588</v>
      </c>
      <c r="C2454" s="1" t="n">
        <v>45227</v>
      </c>
      <c r="D2454" t="inlineStr">
        <is>
          <t>VÄSTRA GÖTALANDS LÄN</t>
        </is>
      </c>
      <c r="E2454" t="inlineStr">
        <is>
          <t>SKARA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22768-2019</t>
        </is>
      </c>
      <c r="B2455" s="1" t="n">
        <v>43588</v>
      </c>
      <c r="C2455" s="1" t="n">
        <v>45227</v>
      </c>
      <c r="D2455" t="inlineStr">
        <is>
          <t>VÄSTRA GÖTALANDS LÄN</t>
        </is>
      </c>
      <c r="E2455" t="inlineStr">
        <is>
          <t>MUNKEDAL</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22751-2019</t>
        </is>
      </c>
      <c r="B2456" s="1" t="n">
        <v>43588</v>
      </c>
      <c r="C2456" s="1" t="n">
        <v>45227</v>
      </c>
      <c r="D2456" t="inlineStr">
        <is>
          <t>VÄSTRA GÖTALANDS LÄN</t>
        </is>
      </c>
      <c r="E2456" t="inlineStr">
        <is>
          <t>ULRICEHAMN</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22715-2019</t>
        </is>
      </c>
      <c r="B2457" s="1" t="n">
        <v>43588</v>
      </c>
      <c r="C2457" s="1" t="n">
        <v>45227</v>
      </c>
      <c r="D2457" t="inlineStr">
        <is>
          <t>VÄSTRA GÖTALANDS LÄN</t>
        </is>
      </c>
      <c r="E2457" t="inlineStr">
        <is>
          <t>SVENLJUNGA</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22784-2019</t>
        </is>
      </c>
      <c r="B2458" s="1" t="n">
        <v>43589</v>
      </c>
      <c r="C2458" s="1" t="n">
        <v>45227</v>
      </c>
      <c r="D2458" t="inlineStr">
        <is>
          <t>VÄSTRA GÖTALANDS LÄN</t>
        </is>
      </c>
      <c r="E2458" t="inlineStr">
        <is>
          <t>KARLSBORG</t>
        </is>
      </c>
      <c r="F2458" t="inlineStr">
        <is>
          <t>Sveaskog</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22973-2019</t>
        </is>
      </c>
      <c r="B2459" s="1" t="n">
        <v>43589</v>
      </c>
      <c r="C2459" s="1" t="n">
        <v>45227</v>
      </c>
      <c r="D2459" t="inlineStr">
        <is>
          <t>VÄSTRA GÖTALANDS LÄN</t>
        </is>
      </c>
      <c r="E2459" t="inlineStr">
        <is>
          <t>GULLSPÅNG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22786-2019</t>
        </is>
      </c>
      <c r="B2460" s="1" t="n">
        <v>43589</v>
      </c>
      <c r="C2460" s="1" t="n">
        <v>45227</v>
      </c>
      <c r="D2460" t="inlineStr">
        <is>
          <t>VÄSTRA GÖTALANDS LÄN</t>
        </is>
      </c>
      <c r="E2460" t="inlineStr">
        <is>
          <t>KARLSBORG</t>
        </is>
      </c>
      <c r="F2460" t="inlineStr">
        <is>
          <t>Sveaskog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22951-2019</t>
        </is>
      </c>
      <c r="B2461" s="1" t="n">
        <v>43591</v>
      </c>
      <c r="C2461" s="1" t="n">
        <v>45227</v>
      </c>
      <c r="D2461" t="inlineStr">
        <is>
          <t>VÄSTRA GÖTALANDS LÄN</t>
        </is>
      </c>
      <c r="E2461" t="inlineStr">
        <is>
          <t>BOLLEBYGD</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22956-2019</t>
        </is>
      </c>
      <c r="B2462" s="1" t="n">
        <v>43591</v>
      </c>
      <c r="C2462" s="1" t="n">
        <v>45227</v>
      </c>
      <c r="D2462" t="inlineStr">
        <is>
          <t>VÄSTRA GÖTALANDS LÄN</t>
        </is>
      </c>
      <c r="E2462" t="inlineStr">
        <is>
          <t>HERRLJUNGA</t>
        </is>
      </c>
      <c r="G2462" t="n">
        <v>3.8</v>
      </c>
      <c r="H2462" t="n">
        <v>0</v>
      </c>
      <c r="I2462" t="n">
        <v>0</v>
      </c>
      <c r="J2462" t="n">
        <v>0</v>
      </c>
      <c r="K2462" t="n">
        <v>0</v>
      </c>
      <c r="L2462" t="n">
        <v>0</v>
      </c>
      <c r="M2462" t="n">
        <v>0</v>
      </c>
      <c r="N2462" t="n">
        <v>0</v>
      </c>
      <c r="O2462" t="n">
        <v>0</v>
      </c>
      <c r="P2462" t="n">
        <v>0</v>
      </c>
      <c r="Q2462" t="n">
        <v>0</v>
      </c>
      <c r="R2462" s="2" t="inlineStr"/>
    </row>
    <row r="2463" ht="15" customHeight="1">
      <c r="A2463" t="inlineStr">
        <is>
          <t>A 23030-2019</t>
        </is>
      </c>
      <c r="B2463" s="1" t="n">
        <v>43591</v>
      </c>
      <c r="C2463" s="1" t="n">
        <v>45227</v>
      </c>
      <c r="D2463" t="inlineStr">
        <is>
          <t>VÄSTRA GÖTALANDS LÄN</t>
        </is>
      </c>
      <c r="E2463" t="inlineStr">
        <is>
          <t>STRÖMSTAD</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22860-2019</t>
        </is>
      </c>
      <c r="B2464" s="1" t="n">
        <v>43591</v>
      </c>
      <c r="C2464" s="1" t="n">
        <v>45227</v>
      </c>
      <c r="D2464" t="inlineStr">
        <is>
          <t>VÄSTRA GÖTALANDS LÄN</t>
        </is>
      </c>
      <c r="E2464" t="inlineStr">
        <is>
          <t>HÄRRYDA</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22967-2019</t>
        </is>
      </c>
      <c r="B2465" s="1" t="n">
        <v>43591</v>
      </c>
      <c r="C2465" s="1" t="n">
        <v>45227</v>
      </c>
      <c r="D2465" t="inlineStr">
        <is>
          <t>VÄSTRA GÖTALANDS LÄN</t>
        </is>
      </c>
      <c r="E2465" t="inlineStr">
        <is>
          <t>UDDEVALLA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22984-2019</t>
        </is>
      </c>
      <c r="B2466" s="1" t="n">
        <v>43591</v>
      </c>
      <c r="C2466" s="1" t="n">
        <v>45227</v>
      </c>
      <c r="D2466" t="inlineStr">
        <is>
          <t>VÄSTRA GÖTALANDS LÄN</t>
        </is>
      </c>
      <c r="E2466" t="inlineStr">
        <is>
          <t>UDDEVALLA</t>
        </is>
      </c>
      <c r="G2466" t="n">
        <v>4.8</v>
      </c>
      <c r="H2466" t="n">
        <v>0</v>
      </c>
      <c r="I2466" t="n">
        <v>0</v>
      </c>
      <c r="J2466" t="n">
        <v>0</v>
      </c>
      <c r="K2466" t="n">
        <v>0</v>
      </c>
      <c r="L2466" t="n">
        <v>0</v>
      </c>
      <c r="M2466" t="n">
        <v>0</v>
      </c>
      <c r="N2466" t="n">
        <v>0</v>
      </c>
      <c r="O2466" t="n">
        <v>0</v>
      </c>
      <c r="P2466" t="n">
        <v>0</v>
      </c>
      <c r="Q2466" t="n">
        <v>0</v>
      </c>
      <c r="R2466" s="2" t="inlineStr"/>
    </row>
    <row r="2467" ht="15" customHeight="1">
      <c r="A2467" t="inlineStr">
        <is>
          <t>A 23028-2019</t>
        </is>
      </c>
      <c r="B2467" s="1" t="n">
        <v>43591</v>
      </c>
      <c r="C2467" s="1" t="n">
        <v>45227</v>
      </c>
      <c r="D2467" t="inlineStr">
        <is>
          <t>VÄSTRA GÖTALANDS LÄN</t>
        </is>
      </c>
      <c r="E2467" t="inlineStr">
        <is>
          <t>STRÖMSTAD</t>
        </is>
      </c>
      <c r="G2467" t="n">
        <v>8.4</v>
      </c>
      <c r="H2467" t="n">
        <v>0</v>
      </c>
      <c r="I2467" t="n">
        <v>0</v>
      </c>
      <c r="J2467" t="n">
        <v>0</v>
      </c>
      <c r="K2467" t="n">
        <v>0</v>
      </c>
      <c r="L2467" t="n">
        <v>0</v>
      </c>
      <c r="M2467" t="n">
        <v>0</v>
      </c>
      <c r="N2467" t="n">
        <v>0</v>
      </c>
      <c r="O2467" t="n">
        <v>0</v>
      </c>
      <c r="P2467" t="n">
        <v>0</v>
      </c>
      <c r="Q2467" t="n">
        <v>0</v>
      </c>
      <c r="R2467" s="2" t="inlineStr"/>
    </row>
    <row r="2468" ht="15" customHeight="1">
      <c r="A2468" t="inlineStr">
        <is>
          <t>A 22851-2019</t>
        </is>
      </c>
      <c r="B2468" s="1" t="n">
        <v>43591</v>
      </c>
      <c r="C2468" s="1" t="n">
        <v>45227</v>
      </c>
      <c r="D2468" t="inlineStr">
        <is>
          <t>VÄSTRA GÖTALANDS LÄN</t>
        </is>
      </c>
      <c r="E2468" t="inlineStr">
        <is>
          <t>DALS-ED</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22930-2019</t>
        </is>
      </c>
      <c r="B2469" s="1" t="n">
        <v>43591</v>
      </c>
      <c r="C2469" s="1" t="n">
        <v>45227</v>
      </c>
      <c r="D2469" t="inlineStr">
        <is>
          <t>VÄSTRA GÖTALANDS LÄN</t>
        </is>
      </c>
      <c r="E2469" t="inlineStr">
        <is>
          <t>ALINGSÅS</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22981-2019</t>
        </is>
      </c>
      <c r="B2470" s="1" t="n">
        <v>43591</v>
      </c>
      <c r="C2470" s="1" t="n">
        <v>45227</v>
      </c>
      <c r="D2470" t="inlineStr">
        <is>
          <t>VÄSTRA GÖTALANDS LÄN</t>
        </is>
      </c>
      <c r="E2470" t="inlineStr">
        <is>
          <t>MARIESTAD</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23054-2019</t>
        </is>
      </c>
      <c r="B2471" s="1" t="n">
        <v>43591</v>
      </c>
      <c r="C2471" s="1" t="n">
        <v>45227</v>
      </c>
      <c r="D2471" t="inlineStr">
        <is>
          <t>VÄSTRA GÖTALANDS LÄN</t>
        </is>
      </c>
      <c r="E2471" t="inlineStr">
        <is>
          <t>SVENLJUNGA</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23094-2019</t>
        </is>
      </c>
      <c r="B2472" s="1" t="n">
        <v>43592</v>
      </c>
      <c r="C2472" s="1" t="n">
        <v>45227</v>
      </c>
      <c r="D2472" t="inlineStr">
        <is>
          <t>VÄSTRA GÖTALANDS LÄN</t>
        </is>
      </c>
      <c r="E2472" t="inlineStr">
        <is>
          <t>SKÖVDE</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23110-2019</t>
        </is>
      </c>
      <c r="B2473" s="1" t="n">
        <v>43592</v>
      </c>
      <c r="C2473" s="1" t="n">
        <v>45227</v>
      </c>
      <c r="D2473" t="inlineStr">
        <is>
          <t>VÄSTRA GÖTALANDS LÄN</t>
        </is>
      </c>
      <c r="E2473" t="inlineStr">
        <is>
          <t>TRANEMO</t>
        </is>
      </c>
      <c r="F2473" t="inlineStr">
        <is>
          <t>Kyrkan</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23148-2019</t>
        </is>
      </c>
      <c r="B2474" s="1" t="n">
        <v>43592</v>
      </c>
      <c r="C2474" s="1" t="n">
        <v>45227</v>
      </c>
      <c r="D2474" t="inlineStr">
        <is>
          <t>VÄSTRA GÖTALANDS LÄN</t>
        </is>
      </c>
      <c r="E2474" t="inlineStr">
        <is>
          <t>MARK</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23223-2019</t>
        </is>
      </c>
      <c r="B2475" s="1" t="n">
        <v>43592</v>
      </c>
      <c r="C2475" s="1" t="n">
        <v>45227</v>
      </c>
      <c r="D2475" t="inlineStr">
        <is>
          <t>VÄSTRA GÖTALANDS LÄN</t>
        </is>
      </c>
      <c r="E2475" t="inlineStr">
        <is>
          <t>ALINGSÅS</t>
        </is>
      </c>
      <c r="F2475" t="inlineStr">
        <is>
          <t>Kommuner</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23143-2019</t>
        </is>
      </c>
      <c r="B2476" s="1" t="n">
        <v>43592</v>
      </c>
      <c r="C2476" s="1" t="n">
        <v>45227</v>
      </c>
      <c r="D2476" t="inlineStr">
        <is>
          <t>VÄSTRA GÖTALANDS LÄN</t>
        </is>
      </c>
      <c r="E2476" t="inlineStr">
        <is>
          <t>FALKÖPING</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23190-2019</t>
        </is>
      </c>
      <c r="B2477" s="1" t="n">
        <v>43592</v>
      </c>
      <c r="C2477" s="1" t="n">
        <v>45227</v>
      </c>
      <c r="D2477" t="inlineStr">
        <is>
          <t>VÄSTRA GÖTALANDS LÄN</t>
        </is>
      </c>
      <c r="E2477" t="inlineStr">
        <is>
          <t>MARIESTAD</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23197-2019</t>
        </is>
      </c>
      <c r="B2478" s="1" t="n">
        <v>43592</v>
      </c>
      <c r="C2478" s="1" t="n">
        <v>45227</v>
      </c>
      <c r="D2478" t="inlineStr">
        <is>
          <t>VÄSTRA GÖTALANDS LÄN</t>
        </is>
      </c>
      <c r="E2478" t="inlineStr">
        <is>
          <t>BENGTSFORS</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23220-2019</t>
        </is>
      </c>
      <c r="B2479" s="1" t="n">
        <v>43592</v>
      </c>
      <c r="C2479" s="1" t="n">
        <v>45227</v>
      </c>
      <c r="D2479" t="inlineStr">
        <is>
          <t>VÄSTRA GÖTALANDS LÄN</t>
        </is>
      </c>
      <c r="E2479" t="inlineStr">
        <is>
          <t>ALINGSÅS</t>
        </is>
      </c>
      <c r="F2479" t="inlineStr">
        <is>
          <t>Kommuner</t>
        </is>
      </c>
      <c r="G2479" t="n">
        <v>4.9</v>
      </c>
      <c r="H2479" t="n">
        <v>0</v>
      </c>
      <c r="I2479" t="n">
        <v>0</v>
      </c>
      <c r="J2479" t="n">
        <v>0</v>
      </c>
      <c r="K2479" t="n">
        <v>0</v>
      </c>
      <c r="L2479" t="n">
        <v>0</v>
      </c>
      <c r="M2479" t="n">
        <v>0</v>
      </c>
      <c r="N2479" t="n">
        <v>0</v>
      </c>
      <c r="O2479" t="n">
        <v>0</v>
      </c>
      <c r="P2479" t="n">
        <v>0</v>
      </c>
      <c r="Q2479" t="n">
        <v>0</v>
      </c>
      <c r="R2479" s="2" t="inlineStr"/>
    </row>
    <row r="2480" ht="15" customHeight="1">
      <c r="A2480" t="inlineStr">
        <is>
          <t>A 23411-2019</t>
        </is>
      </c>
      <c r="B2480" s="1" t="n">
        <v>43592</v>
      </c>
      <c r="C2480" s="1" t="n">
        <v>45227</v>
      </c>
      <c r="D2480" t="inlineStr">
        <is>
          <t>VÄSTRA GÖTALANDS LÄN</t>
        </is>
      </c>
      <c r="E2480" t="inlineStr">
        <is>
          <t>ULRICEHAMN</t>
        </is>
      </c>
      <c r="G2480" t="n">
        <v>12.9</v>
      </c>
      <c r="H2480" t="n">
        <v>0</v>
      </c>
      <c r="I2480" t="n">
        <v>0</v>
      </c>
      <c r="J2480" t="n">
        <v>0</v>
      </c>
      <c r="K2480" t="n">
        <v>0</v>
      </c>
      <c r="L2480" t="n">
        <v>0</v>
      </c>
      <c r="M2480" t="n">
        <v>0</v>
      </c>
      <c r="N2480" t="n">
        <v>0</v>
      </c>
      <c r="O2480" t="n">
        <v>0</v>
      </c>
      <c r="P2480" t="n">
        <v>0</v>
      </c>
      <c r="Q2480" t="n">
        <v>0</v>
      </c>
      <c r="R2480" s="2" t="inlineStr"/>
    </row>
    <row r="2481" ht="15" customHeight="1">
      <c r="A2481" t="inlineStr">
        <is>
          <t>A 23115-2019</t>
        </is>
      </c>
      <c r="B2481" s="1" t="n">
        <v>43592</v>
      </c>
      <c r="C2481" s="1" t="n">
        <v>45227</v>
      </c>
      <c r="D2481" t="inlineStr">
        <is>
          <t>VÄSTRA GÖTALANDS LÄN</t>
        </is>
      </c>
      <c r="E2481" t="inlineStr">
        <is>
          <t>SVENLJUNGA</t>
        </is>
      </c>
      <c r="F2481" t="inlineStr">
        <is>
          <t>Kyrkan</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23185-2019</t>
        </is>
      </c>
      <c r="B2482" s="1" t="n">
        <v>43592</v>
      </c>
      <c r="C2482" s="1" t="n">
        <v>45227</v>
      </c>
      <c r="D2482" t="inlineStr">
        <is>
          <t>VÄSTRA GÖTALANDS LÄN</t>
        </is>
      </c>
      <c r="E2482" t="inlineStr">
        <is>
          <t>TIDAHOLM</t>
        </is>
      </c>
      <c r="F2482" t="inlineStr">
        <is>
          <t>Sveaskog</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23413-2019</t>
        </is>
      </c>
      <c r="B2483" s="1" t="n">
        <v>43593</v>
      </c>
      <c r="C2483" s="1" t="n">
        <v>45227</v>
      </c>
      <c r="D2483" t="inlineStr">
        <is>
          <t>VÄSTRA GÖTALANDS LÄN</t>
        </is>
      </c>
      <c r="E2483" t="inlineStr">
        <is>
          <t>MARIESTAD</t>
        </is>
      </c>
      <c r="G2483" t="n">
        <v>1.6</v>
      </c>
      <c r="H2483" t="n">
        <v>0</v>
      </c>
      <c r="I2483" t="n">
        <v>0</v>
      </c>
      <c r="J2483" t="n">
        <v>0</v>
      </c>
      <c r="K2483" t="n">
        <v>0</v>
      </c>
      <c r="L2483" t="n">
        <v>0</v>
      </c>
      <c r="M2483" t="n">
        <v>0</v>
      </c>
      <c r="N2483" t="n">
        <v>0</v>
      </c>
      <c r="O2483" t="n">
        <v>0</v>
      </c>
      <c r="P2483" t="n">
        <v>0</v>
      </c>
      <c r="Q2483" t="n">
        <v>0</v>
      </c>
      <c r="R2483" s="2" t="inlineStr"/>
    </row>
    <row r="2484" ht="15" customHeight="1">
      <c r="A2484" t="inlineStr">
        <is>
          <t>A 23452-2019</t>
        </is>
      </c>
      <c r="B2484" s="1" t="n">
        <v>43593</v>
      </c>
      <c r="C2484" s="1" t="n">
        <v>45227</v>
      </c>
      <c r="D2484" t="inlineStr">
        <is>
          <t>VÄSTRA GÖTALANDS LÄN</t>
        </is>
      </c>
      <c r="E2484" t="inlineStr">
        <is>
          <t>BENGTSFORS</t>
        </is>
      </c>
      <c r="G2484" t="n">
        <v>6.7</v>
      </c>
      <c r="H2484" t="n">
        <v>0</v>
      </c>
      <c r="I2484" t="n">
        <v>0</v>
      </c>
      <c r="J2484" t="n">
        <v>0</v>
      </c>
      <c r="K2484" t="n">
        <v>0</v>
      </c>
      <c r="L2484" t="n">
        <v>0</v>
      </c>
      <c r="M2484" t="n">
        <v>0</v>
      </c>
      <c r="N2484" t="n">
        <v>0</v>
      </c>
      <c r="O2484" t="n">
        <v>0</v>
      </c>
      <c r="P2484" t="n">
        <v>0</v>
      </c>
      <c r="Q2484" t="n">
        <v>0</v>
      </c>
      <c r="R2484" s="2" t="inlineStr"/>
    </row>
    <row r="2485" ht="15" customHeight="1">
      <c r="A2485" t="inlineStr">
        <is>
          <t>A 23320-2019</t>
        </is>
      </c>
      <c r="B2485" s="1" t="n">
        <v>43593</v>
      </c>
      <c r="C2485" s="1" t="n">
        <v>45227</v>
      </c>
      <c r="D2485" t="inlineStr">
        <is>
          <t>VÄSTRA GÖTALANDS LÄN</t>
        </is>
      </c>
      <c r="E2485" t="inlineStr">
        <is>
          <t>HERRLJUNGA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23408-2019</t>
        </is>
      </c>
      <c r="B2486" s="1" t="n">
        <v>43593</v>
      </c>
      <c r="C2486" s="1" t="n">
        <v>45227</v>
      </c>
      <c r="D2486" t="inlineStr">
        <is>
          <t>VÄSTRA GÖTALANDS LÄN</t>
        </is>
      </c>
      <c r="E2486" t="inlineStr">
        <is>
          <t>HÄRRYDA</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23705-2019</t>
        </is>
      </c>
      <c r="B2487" s="1" t="n">
        <v>43594</v>
      </c>
      <c r="C2487" s="1" t="n">
        <v>45227</v>
      </c>
      <c r="D2487" t="inlineStr">
        <is>
          <t>VÄSTRA GÖTALANDS LÄN</t>
        </is>
      </c>
      <c r="E2487" t="inlineStr">
        <is>
          <t>TRANEMO</t>
        </is>
      </c>
      <c r="F2487" t="inlineStr">
        <is>
          <t>Sveaskog</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23526-2019</t>
        </is>
      </c>
      <c r="B2488" s="1" t="n">
        <v>43594</v>
      </c>
      <c r="C2488" s="1" t="n">
        <v>45227</v>
      </c>
      <c r="D2488" t="inlineStr">
        <is>
          <t>VÄSTRA GÖTALANDS LÄN</t>
        </is>
      </c>
      <c r="E2488" t="inlineStr">
        <is>
          <t>BOLLEBYGD</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23707-2019</t>
        </is>
      </c>
      <c r="B2489" s="1" t="n">
        <v>43594</v>
      </c>
      <c r="C2489" s="1" t="n">
        <v>45227</v>
      </c>
      <c r="D2489" t="inlineStr">
        <is>
          <t>VÄSTRA GÖTALANDS LÄN</t>
        </is>
      </c>
      <c r="E2489" t="inlineStr">
        <is>
          <t>TRANEMO</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23527-2019</t>
        </is>
      </c>
      <c r="B2490" s="1" t="n">
        <v>43594</v>
      </c>
      <c r="C2490" s="1" t="n">
        <v>45227</v>
      </c>
      <c r="D2490" t="inlineStr">
        <is>
          <t>VÄSTRA GÖTALANDS LÄN</t>
        </is>
      </c>
      <c r="E2490" t="inlineStr">
        <is>
          <t>BOLLEBYGD</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23490-2019</t>
        </is>
      </c>
      <c r="B2491" s="1" t="n">
        <v>43594</v>
      </c>
      <c r="C2491" s="1" t="n">
        <v>45227</v>
      </c>
      <c r="D2491" t="inlineStr">
        <is>
          <t>VÄSTRA GÖTALANDS LÄN</t>
        </is>
      </c>
      <c r="E2491" t="inlineStr">
        <is>
          <t>ULRICEHAMN</t>
        </is>
      </c>
      <c r="G2491" t="n">
        <v>4.9</v>
      </c>
      <c r="H2491" t="n">
        <v>0</v>
      </c>
      <c r="I2491" t="n">
        <v>0</v>
      </c>
      <c r="J2491" t="n">
        <v>0</v>
      </c>
      <c r="K2491" t="n">
        <v>0</v>
      </c>
      <c r="L2491" t="n">
        <v>0</v>
      </c>
      <c r="M2491" t="n">
        <v>0</v>
      </c>
      <c r="N2491" t="n">
        <v>0</v>
      </c>
      <c r="O2491" t="n">
        <v>0</v>
      </c>
      <c r="P2491" t="n">
        <v>0</v>
      </c>
      <c r="Q2491" t="n">
        <v>0</v>
      </c>
      <c r="R2491" s="2" t="inlineStr"/>
    </row>
    <row r="2492" ht="15" customHeight="1">
      <c r="A2492" t="inlineStr">
        <is>
          <t>A 23632-2019</t>
        </is>
      </c>
      <c r="B2492" s="1" t="n">
        <v>43594</v>
      </c>
      <c r="C2492" s="1" t="n">
        <v>45227</v>
      </c>
      <c r="D2492" t="inlineStr">
        <is>
          <t>VÄSTRA GÖTALANDS LÄN</t>
        </is>
      </c>
      <c r="E2492" t="inlineStr">
        <is>
          <t>TIDAHOLM</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23637-2019</t>
        </is>
      </c>
      <c r="B2493" s="1" t="n">
        <v>43594</v>
      </c>
      <c r="C2493" s="1" t="n">
        <v>45227</v>
      </c>
      <c r="D2493" t="inlineStr">
        <is>
          <t>VÄSTRA GÖTALANDS LÄN</t>
        </is>
      </c>
      <c r="E2493" t="inlineStr">
        <is>
          <t>TIDAHOLM</t>
        </is>
      </c>
      <c r="G2493" t="n">
        <v>4.8</v>
      </c>
      <c r="H2493" t="n">
        <v>0</v>
      </c>
      <c r="I2493" t="n">
        <v>0</v>
      </c>
      <c r="J2493" t="n">
        <v>0</v>
      </c>
      <c r="K2493" t="n">
        <v>0</v>
      </c>
      <c r="L2493" t="n">
        <v>0</v>
      </c>
      <c r="M2493" t="n">
        <v>0</v>
      </c>
      <c r="N2493" t="n">
        <v>0</v>
      </c>
      <c r="O2493" t="n">
        <v>0</v>
      </c>
      <c r="P2493" t="n">
        <v>0</v>
      </c>
      <c r="Q2493" t="n">
        <v>0</v>
      </c>
      <c r="R2493" s="2" t="inlineStr"/>
    </row>
    <row r="2494" ht="15" customHeight="1">
      <c r="A2494" t="inlineStr">
        <is>
          <t>A 23708-2019</t>
        </is>
      </c>
      <c r="B2494" s="1" t="n">
        <v>43594</v>
      </c>
      <c r="C2494" s="1" t="n">
        <v>45227</v>
      </c>
      <c r="D2494" t="inlineStr">
        <is>
          <t>VÄSTRA GÖTALANDS LÄN</t>
        </is>
      </c>
      <c r="E2494" t="inlineStr">
        <is>
          <t>TRANEMO</t>
        </is>
      </c>
      <c r="F2494" t="inlineStr">
        <is>
          <t>Sveaskog</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23578-2019</t>
        </is>
      </c>
      <c r="B2495" s="1" t="n">
        <v>43594</v>
      </c>
      <c r="C2495" s="1" t="n">
        <v>45227</v>
      </c>
      <c r="D2495" t="inlineStr">
        <is>
          <t>VÄSTRA GÖTALANDS LÄN</t>
        </is>
      </c>
      <c r="E2495" t="inlineStr">
        <is>
          <t>HÄRRYDA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23751-2019</t>
        </is>
      </c>
      <c r="B2496" s="1" t="n">
        <v>43595</v>
      </c>
      <c r="C2496" s="1" t="n">
        <v>45227</v>
      </c>
      <c r="D2496" t="inlineStr">
        <is>
          <t>VÄSTRA GÖTALANDS LÄN</t>
        </is>
      </c>
      <c r="E2496" t="inlineStr">
        <is>
          <t>STRÖMSTAD</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23850-2019</t>
        </is>
      </c>
      <c r="B2497" s="1" t="n">
        <v>43595</v>
      </c>
      <c r="C2497" s="1" t="n">
        <v>45227</v>
      </c>
      <c r="D2497" t="inlineStr">
        <is>
          <t>VÄSTRA GÖTALANDS LÄN</t>
        </is>
      </c>
      <c r="E2497" t="inlineStr">
        <is>
          <t>STRÖMSTAD</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23800-2019</t>
        </is>
      </c>
      <c r="B2498" s="1" t="n">
        <v>43595</v>
      </c>
      <c r="C2498" s="1" t="n">
        <v>45227</v>
      </c>
      <c r="D2498" t="inlineStr">
        <is>
          <t>VÄSTRA GÖTALANDS LÄN</t>
        </is>
      </c>
      <c r="E2498" t="inlineStr">
        <is>
          <t>TÖREBODA</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23896-2019</t>
        </is>
      </c>
      <c r="B2499" s="1" t="n">
        <v>43595</v>
      </c>
      <c r="C2499" s="1" t="n">
        <v>45227</v>
      </c>
      <c r="D2499" t="inlineStr">
        <is>
          <t>VÄSTRA GÖTALANDS LÄN</t>
        </is>
      </c>
      <c r="E2499" t="inlineStr">
        <is>
          <t>FALKÖPING</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23747-2019</t>
        </is>
      </c>
      <c r="B2500" s="1" t="n">
        <v>43595</v>
      </c>
      <c r="C2500" s="1" t="n">
        <v>45227</v>
      </c>
      <c r="D2500" t="inlineStr">
        <is>
          <t>VÄSTRA GÖTALANDS LÄN</t>
        </is>
      </c>
      <c r="E2500" t="inlineStr">
        <is>
          <t>STRÖMSTAD</t>
        </is>
      </c>
      <c r="G2500" t="n">
        <v>4</v>
      </c>
      <c r="H2500" t="n">
        <v>0</v>
      </c>
      <c r="I2500" t="n">
        <v>0</v>
      </c>
      <c r="J2500" t="n">
        <v>0</v>
      </c>
      <c r="K2500" t="n">
        <v>0</v>
      </c>
      <c r="L2500" t="n">
        <v>0</v>
      </c>
      <c r="M2500" t="n">
        <v>0</v>
      </c>
      <c r="N2500" t="n">
        <v>0</v>
      </c>
      <c r="O2500" t="n">
        <v>0</v>
      </c>
      <c r="P2500" t="n">
        <v>0</v>
      </c>
      <c r="Q2500" t="n">
        <v>0</v>
      </c>
      <c r="R2500" s="2" t="inlineStr"/>
    </row>
    <row r="2501" ht="15" customHeight="1">
      <c r="A2501" t="inlineStr">
        <is>
          <t>A 23852-2019</t>
        </is>
      </c>
      <c r="B2501" s="1" t="n">
        <v>43595</v>
      </c>
      <c r="C2501" s="1" t="n">
        <v>45227</v>
      </c>
      <c r="D2501" t="inlineStr">
        <is>
          <t>VÄSTRA GÖTALANDS LÄN</t>
        </is>
      </c>
      <c r="E2501" t="inlineStr">
        <is>
          <t>FALKÖPING</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23869-2019</t>
        </is>
      </c>
      <c r="B2502" s="1" t="n">
        <v>43595</v>
      </c>
      <c r="C2502" s="1" t="n">
        <v>45227</v>
      </c>
      <c r="D2502" t="inlineStr">
        <is>
          <t>VÄSTRA GÖTALANDS LÄN</t>
        </is>
      </c>
      <c r="E2502" t="inlineStr">
        <is>
          <t>TRANEMO</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23943-2019</t>
        </is>
      </c>
      <c r="B2503" s="1" t="n">
        <v>43596</v>
      </c>
      <c r="C2503" s="1" t="n">
        <v>45227</v>
      </c>
      <c r="D2503" t="inlineStr">
        <is>
          <t>VÄSTRA GÖTALANDS LÄN</t>
        </is>
      </c>
      <c r="E2503" t="inlineStr">
        <is>
          <t>SKÖVDE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23955-2019</t>
        </is>
      </c>
      <c r="B2504" s="1" t="n">
        <v>43597</v>
      </c>
      <c r="C2504" s="1" t="n">
        <v>45227</v>
      </c>
      <c r="D2504" t="inlineStr">
        <is>
          <t>VÄSTRA GÖTALANDS LÄN</t>
        </is>
      </c>
      <c r="E2504" t="inlineStr">
        <is>
          <t>HERRLJUNGA</t>
        </is>
      </c>
      <c r="G2504" t="n">
        <v>16.6</v>
      </c>
      <c r="H2504" t="n">
        <v>0</v>
      </c>
      <c r="I2504" t="n">
        <v>0</v>
      </c>
      <c r="J2504" t="n">
        <v>0</v>
      </c>
      <c r="K2504" t="n">
        <v>0</v>
      </c>
      <c r="L2504" t="n">
        <v>0</v>
      </c>
      <c r="M2504" t="n">
        <v>0</v>
      </c>
      <c r="N2504" t="n">
        <v>0</v>
      </c>
      <c r="O2504" t="n">
        <v>0</v>
      </c>
      <c r="P2504" t="n">
        <v>0</v>
      </c>
      <c r="Q2504" t="n">
        <v>0</v>
      </c>
      <c r="R2504" s="2" t="inlineStr"/>
    </row>
    <row r="2505" ht="15" customHeight="1">
      <c r="A2505" t="inlineStr">
        <is>
          <t>A 23951-2019</t>
        </is>
      </c>
      <c r="B2505" s="1" t="n">
        <v>43597</v>
      </c>
      <c r="C2505" s="1" t="n">
        <v>45227</v>
      </c>
      <c r="D2505" t="inlineStr">
        <is>
          <t>VÄSTRA GÖTALANDS LÄN</t>
        </is>
      </c>
      <c r="E2505" t="inlineStr">
        <is>
          <t>ESSUNGA</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24145-2019</t>
        </is>
      </c>
      <c r="B2506" s="1" t="n">
        <v>43598</v>
      </c>
      <c r="C2506" s="1" t="n">
        <v>45227</v>
      </c>
      <c r="D2506" t="inlineStr">
        <is>
          <t>VÄSTRA GÖTALANDS LÄN</t>
        </is>
      </c>
      <c r="E2506" t="inlineStr">
        <is>
          <t>BORÅS</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24150-2019</t>
        </is>
      </c>
      <c r="B2507" s="1" t="n">
        <v>43598</v>
      </c>
      <c r="C2507" s="1" t="n">
        <v>45227</v>
      </c>
      <c r="D2507" t="inlineStr">
        <is>
          <t>VÄSTRA GÖTALANDS LÄN</t>
        </is>
      </c>
      <c r="E2507" t="inlineStr">
        <is>
          <t>BORÅS</t>
        </is>
      </c>
      <c r="G2507" t="n">
        <v>4.9</v>
      </c>
      <c r="H2507" t="n">
        <v>0</v>
      </c>
      <c r="I2507" t="n">
        <v>0</v>
      </c>
      <c r="J2507" t="n">
        <v>0</v>
      </c>
      <c r="K2507" t="n">
        <v>0</v>
      </c>
      <c r="L2507" t="n">
        <v>0</v>
      </c>
      <c r="M2507" t="n">
        <v>0</v>
      </c>
      <c r="N2507" t="n">
        <v>0</v>
      </c>
      <c r="O2507" t="n">
        <v>0</v>
      </c>
      <c r="P2507" t="n">
        <v>0</v>
      </c>
      <c r="Q2507" t="n">
        <v>0</v>
      </c>
      <c r="R2507" s="2" t="inlineStr"/>
    </row>
    <row r="2508" ht="15" customHeight="1">
      <c r="A2508" t="inlineStr">
        <is>
          <t>A 24045-2019</t>
        </is>
      </c>
      <c r="B2508" s="1" t="n">
        <v>43598</v>
      </c>
      <c r="C2508" s="1" t="n">
        <v>45227</v>
      </c>
      <c r="D2508" t="inlineStr">
        <is>
          <t>VÄSTRA GÖTALANDS LÄN</t>
        </is>
      </c>
      <c r="E2508" t="inlineStr">
        <is>
          <t>UDDEVALLA</t>
        </is>
      </c>
      <c r="G2508" t="n">
        <v>4.8</v>
      </c>
      <c r="H2508" t="n">
        <v>0</v>
      </c>
      <c r="I2508" t="n">
        <v>0</v>
      </c>
      <c r="J2508" t="n">
        <v>0</v>
      </c>
      <c r="K2508" t="n">
        <v>0</v>
      </c>
      <c r="L2508" t="n">
        <v>0</v>
      </c>
      <c r="M2508" t="n">
        <v>0</v>
      </c>
      <c r="N2508" t="n">
        <v>0</v>
      </c>
      <c r="O2508" t="n">
        <v>0</v>
      </c>
      <c r="P2508" t="n">
        <v>0</v>
      </c>
      <c r="Q2508" t="n">
        <v>0</v>
      </c>
      <c r="R2508" s="2" t="inlineStr"/>
    </row>
    <row r="2509" ht="15" customHeight="1">
      <c r="A2509" t="inlineStr">
        <is>
          <t>A 24050-2019</t>
        </is>
      </c>
      <c r="B2509" s="1" t="n">
        <v>43598</v>
      </c>
      <c r="C2509" s="1" t="n">
        <v>45227</v>
      </c>
      <c r="D2509" t="inlineStr">
        <is>
          <t>VÄSTRA GÖTALANDS LÄN</t>
        </is>
      </c>
      <c r="E2509" t="inlineStr">
        <is>
          <t>UDDEVALLA</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24121-2019</t>
        </is>
      </c>
      <c r="B2510" s="1" t="n">
        <v>43598</v>
      </c>
      <c r="C2510" s="1" t="n">
        <v>45227</v>
      </c>
      <c r="D2510" t="inlineStr">
        <is>
          <t>VÄSTRA GÖTALANDS LÄN</t>
        </is>
      </c>
      <c r="E2510" t="inlineStr">
        <is>
          <t>MARIESTAD</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24140-2019</t>
        </is>
      </c>
      <c r="B2511" s="1" t="n">
        <v>43598</v>
      </c>
      <c r="C2511" s="1" t="n">
        <v>45227</v>
      </c>
      <c r="D2511" t="inlineStr">
        <is>
          <t>VÄSTRA GÖTALANDS LÄN</t>
        </is>
      </c>
      <c r="E2511" t="inlineStr">
        <is>
          <t>BORÅS</t>
        </is>
      </c>
      <c r="F2511" t="inlineStr">
        <is>
          <t>Kyrkan</t>
        </is>
      </c>
      <c r="G2511" t="n">
        <v>3.9</v>
      </c>
      <c r="H2511" t="n">
        <v>0</v>
      </c>
      <c r="I2511" t="n">
        <v>0</v>
      </c>
      <c r="J2511" t="n">
        <v>0</v>
      </c>
      <c r="K2511" t="n">
        <v>0</v>
      </c>
      <c r="L2511" t="n">
        <v>0</v>
      </c>
      <c r="M2511" t="n">
        <v>0</v>
      </c>
      <c r="N2511" t="n">
        <v>0</v>
      </c>
      <c r="O2511" t="n">
        <v>0</v>
      </c>
      <c r="P2511" t="n">
        <v>0</v>
      </c>
      <c r="Q2511" t="n">
        <v>0</v>
      </c>
      <c r="R2511" s="2" t="inlineStr"/>
    </row>
    <row r="2512" ht="15" customHeight="1">
      <c r="A2512" t="inlineStr">
        <is>
          <t>A 24149-2019</t>
        </is>
      </c>
      <c r="B2512" s="1" t="n">
        <v>43598</v>
      </c>
      <c r="C2512" s="1" t="n">
        <v>45227</v>
      </c>
      <c r="D2512" t="inlineStr">
        <is>
          <t>VÄSTRA GÖTALANDS LÄN</t>
        </is>
      </c>
      <c r="E2512" t="inlineStr">
        <is>
          <t>BORÅS</t>
        </is>
      </c>
      <c r="G2512" t="n">
        <v>2.1</v>
      </c>
      <c r="H2512" t="n">
        <v>0</v>
      </c>
      <c r="I2512" t="n">
        <v>0</v>
      </c>
      <c r="J2512" t="n">
        <v>0</v>
      </c>
      <c r="K2512" t="n">
        <v>0</v>
      </c>
      <c r="L2512" t="n">
        <v>0</v>
      </c>
      <c r="M2512" t="n">
        <v>0</v>
      </c>
      <c r="N2512" t="n">
        <v>0</v>
      </c>
      <c r="O2512" t="n">
        <v>0</v>
      </c>
      <c r="P2512" t="n">
        <v>0</v>
      </c>
      <c r="Q2512" t="n">
        <v>0</v>
      </c>
      <c r="R2512" s="2" t="inlineStr"/>
    </row>
    <row r="2513" ht="15" customHeight="1">
      <c r="A2513" t="inlineStr">
        <is>
          <t>A 24026-2019</t>
        </is>
      </c>
      <c r="B2513" s="1" t="n">
        <v>43598</v>
      </c>
      <c r="C2513" s="1" t="n">
        <v>45227</v>
      </c>
      <c r="D2513" t="inlineStr">
        <is>
          <t>VÄSTRA GÖTALANDS LÄN</t>
        </is>
      </c>
      <c r="E2513" t="inlineStr">
        <is>
          <t>UDDEVALLA</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24052-2019</t>
        </is>
      </c>
      <c r="B2514" s="1" t="n">
        <v>43598</v>
      </c>
      <c r="C2514" s="1" t="n">
        <v>45227</v>
      </c>
      <c r="D2514" t="inlineStr">
        <is>
          <t>VÄSTRA GÖTALANDS LÄN</t>
        </is>
      </c>
      <c r="E2514" t="inlineStr">
        <is>
          <t>TRANEMO</t>
        </is>
      </c>
      <c r="F2514" t="inlineStr">
        <is>
          <t>Sveaskog</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24075-2019</t>
        </is>
      </c>
      <c r="B2515" s="1" t="n">
        <v>43598</v>
      </c>
      <c r="C2515" s="1" t="n">
        <v>45227</v>
      </c>
      <c r="D2515" t="inlineStr">
        <is>
          <t>VÄSTRA GÖTALANDS LÄN</t>
        </is>
      </c>
      <c r="E2515" t="inlineStr">
        <is>
          <t>VÅRGÅRDA</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24253-2019</t>
        </is>
      </c>
      <c r="B2516" s="1" t="n">
        <v>43599</v>
      </c>
      <c r="C2516" s="1" t="n">
        <v>45227</v>
      </c>
      <c r="D2516" t="inlineStr">
        <is>
          <t>VÄSTRA GÖTALANDS LÄN</t>
        </is>
      </c>
      <c r="E2516" t="inlineStr">
        <is>
          <t>MARK</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24296-2019</t>
        </is>
      </c>
      <c r="B2517" s="1" t="n">
        <v>43599</v>
      </c>
      <c r="C2517" s="1" t="n">
        <v>45227</v>
      </c>
      <c r="D2517" t="inlineStr">
        <is>
          <t>VÄSTRA GÖTALANDS LÄN</t>
        </is>
      </c>
      <c r="E2517" t="inlineStr">
        <is>
          <t>LIDKÖPING</t>
        </is>
      </c>
      <c r="F2517" t="inlineStr">
        <is>
          <t>Kyrkan</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24319-2019</t>
        </is>
      </c>
      <c r="B2518" s="1" t="n">
        <v>43599</v>
      </c>
      <c r="C2518" s="1" t="n">
        <v>45227</v>
      </c>
      <c r="D2518" t="inlineStr">
        <is>
          <t>VÄSTRA GÖTALANDS LÄN</t>
        </is>
      </c>
      <c r="E2518" t="inlineStr">
        <is>
          <t>SVENLJUNGA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24338-2019</t>
        </is>
      </c>
      <c r="B2519" s="1" t="n">
        <v>43599</v>
      </c>
      <c r="C2519" s="1" t="n">
        <v>45227</v>
      </c>
      <c r="D2519" t="inlineStr">
        <is>
          <t>VÄSTRA GÖTALANDS LÄN</t>
        </is>
      </c>
      <c r="E2519" t="inlineStr">
        <is>
          <t>SVENLJUNGA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24361-2019</t>
        </is>
      </c>
      <c r="B2520" s="1" t="n">
        <v>43599</v>
      </c>
      <c r="C2520" s="1" t="n">
        <v>45227</v>
      </c>
      <c r="D2520" t="inlineStr">
        <is>
          <t>VÄSTRA GÖTALANDS LÄN</t>
        </is>
      </c>
      <c r="E2520" t="inlineStr">
        <is>
          <t>FÄRGELANDA</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24830-2019</t>
        </is>
      </c>
      <c r="B2521" s="1" t="n">
        <v>43599</v>
      </c>
      <c r="C2521" s="1" t="n">
        <v>45227</v>
      </c>
      <c r="D2521" t="inlineStr">
        <is>
          <t>VÄSTRA GÖTALANDS LÄN</t>
        </is>
      </c>
      <c r="E2521" t="inlineStr">
        <is>
          <t>SVENLJUNGA</t>
        </is>
      </c>
      <c r="G2521" t="n">
        <v>2.1</v>
      </c>
      <c r="H2521" t="n">
        <v>0</v>
      </c>
      <c r="I2521" t="n">
        <v>0</v>
      </c>
      <c r="J2521" t="n">
        <v>0</v>
      </c>
      <c r="K2521" t="n">
        <v>0</v>
      </c>
      <c r="L2521" t="n">
        <v>0</v>
      </c>
      <c r="M2521" t="n">
        <v>0</v>
      </c>
      <c r="N2521" t="n">
        <v>0</v>
      </c>
      <c r="O2521" t="n">
        <v>0</v>
      </c>
      <c r="P2521" t="n">
        <v>0</v>
      </c>
      <c r="Q2521" t="n">
        <v>0</v>
      </c>
      <c r="R2521" s="2" t="inlineStr"/>
    </row>
    <row r="2522" ht="15" customHeight="1">
      <c r="A2522" t="inlineStr">
        <is>
          <t>A 24304-2019</t>
        </is>
      </c>
      <c r="B2522" s="1" t="n">
        <v>43599</v>
      </c>
      <c r="C2522" s="1" t="n">
        <v>45227</v>
      </c>
      <c r="D2522" t="inlineStr">
        <is>
          <t>VÄSTRA GÖTALANDS LÄN</t>
        </is>
      </c>
      <c r="E2522" t="inlineStr">
        <is>
          <t>BENGTSFORS</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24312-2019</t>
        </is>
      </c>
      <c r="B2523" s="1" t="n">
        <v>43599</v>
      </c>
      <c r="C2523" s="1" t="n">
        <v>45227</v>
      </c>
      <c r="D2523" t="inlineStr">
        <is>
          <t>VÄSTRA GÖTALANDS LÄN</t>
        </is>
      </c>
      <c r="E2523" t="inlineStr">
        <is>
          <t>TROLLHÄTTAN</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24205-2019</t>
        </is>
      </c>
      <c r="B2524" s="1" t="n">
        <v>43599</v>
      </c>
      <c r="C2524" s="1" t="n">
        <v>45227</v>
      </c>
      <c r="D2524" t="inlineStr">
        <is>
          <t>VÄSTRA GÖTALANDS LÄN</t>
        </is>
      </c>
      <c r="E2524" t="inlineStr">
        <is>
          <t>ALINGSÅS</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24384-2019</t>
        </is>
      </c>
      <c r="B2525" s="1" t="n">
        <v>43599</v>
      </c>
      <c r="C2525" s="1" t="n">
        <v>45227</v>
      </c>
      <c r="D2525" t="inlineStr">
        <is>
          <t>VÄSTRA GÖTALANDS LÄN</t>
        </is>
      </c>
      <c r="E2525" t="inlineStr">
        <is>
          <t>TRANEMO</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24883-2019</t>
        </is>
      </c>
      <c r="B2526" s="1" t="n">
        <v>43599</v>
      </c>
      <c r="C2526" s="1" t="n">
        <v>45227</v>
      </c>
      <c r="D2526" t="inlineStr">
        <is>
          <t>VÄSTRA GÖTALANDS LÄN</t>
        </is>
      </c>
      <c r="E2526" t="inlineStr">
        <is>
          <t>TANUM</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24927-2019</t>
        </is>
      </c>
      <c r="B2527" s="1" t="n">
        <v>43599</v>
      </c>
      <c r="C2527" s="1" t="n">
        <v>45227</v>
      </c>
      <c r="D2527" t="inlineStr">
        <is>
          <t>VÄSTRA GÖTALANDS LÄN</t>
        </is>
      </c>
      <c r="E2527" t="inlineStr">
        <is>
          <t>LIDKÖPING</t>
        </is>
      </c>
      <c r="G2527" t="n">
        <v>4.3</v>
      </c>
      <c r="H2527" t="n">
        <v>0</v>
      </c>
      <c r="I2527" t="n">
        <v>0</v>
      </c>
      <c r="J2527" t="n">
        <v>0</v>
      </c>
      <c r="K2527" t="n">
        <v>0</v>
      </c>
      <c r="L2527" t="n">
        <v>0</v>
      </c>
      <c r="M2527" t="n">
        <v>0</v>
      </c>
      <c r="N2527" t="n">
        <v>0</v>
      </c>
      <c r="O2527" t="n">
        <v>0</v>
      </c>
      <c r="P2527" t="n">
        <v>0</v>
      </c>
      <c r="Q2527" t="n">
        <v>0</v>
      </c>
      <c r="R2527" s="2" t="inlineStr"/>
    </row>
    <row r="2528" ht="15" customHeight="1">
      <c r="A2528" t="inlineStr">
        <is>
          <t>A 24214-2019</t>
        </is>
      </c>
      <c r="B2528" s="1" t="n">
        <v>43599</v>
      </c>
      <c r="C2528" s="1" t="n">
        <v>45227</v>
      </c>
      <c r="D2528" t="inlineStr">
        <is>
          <t>VÄSTRA GÖTALANDS LÄN</t>
        </is>
      </c>
      <c r="E2528" t="inlineStr">
        <is>
          <t>VARA</t>
        </is>
      </c>
      <c r="G2528" t="n">
        <v>3.8</v>
      </c>
      <c r="H2528" t="n">
        <v>0</v>
      </c>
      <c r="I2528" t="n">
        <v>0</v>
      </c>
      <c r="J2528" t="n">
        <v>0</v>
      </c>
      <c r="K2528" t="n">
        <v>0</v>
      </c>
      <c r="L2528" t="n">
        <v>0</v>
      </c>
      <c r="M2528" t="n">
        <v>0</v>
      </c>
      <c r="N2528" t="n">
        <v>0</v>
      </c>
      <c r="O2528" t="n">
        <v>0</v>
      </c>
      <c r="P2528" t="n">
        <v>0</v>
      </c>
      <c r="Q2528" t="n">
        <v>0</v>
      </c>
      <c r="R2528" s="2" t="inlineStr"/>
    </row>
    <row r="2529" ht="15" customHeight="1">
      <c r="A2529" t="inlineStr">
        <is>
          <t>A 24331-2019</t>
        </is>
      </c>
      <c r="B2529" s="1" t="n">
        <v>43599</v>
      </c>
      <c r="C2529" s="1" t="n">
        <v>45227</v>
      </c>
      <c r="D2529" t="inlineStr">
        <is>
          <t>VÄSTRA GÖTALANDS LÄN</t>
        </is>
      </c>
      <c r="E2529" t="inlineStr">
        <is>
          <t>SVENLJUNGA</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24385-2019</t>
        </is>
      </c>
      <c r="B2530" s="1" t="n">
        <v>43599</v>
      </c>
      <c r="C2530" s="1" t="n">
        <v>45227</v>
      </c>
      <c r="D2530" t="inlineStr">
        <is>
          <t>VÄSTRA GÖTALANDS LÄN</t>
        </is>
      </c>
      <c r="E2530" t="inlineStr">
        <is>
          <t>TRANEMO</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24494-2019</t>
        </is>
      </c>
      <c r="B2531" s="1" t="n">
        <v>43600</v>
      </c>
      <c r="C2531" s="1" t="n">
        <v>45227</v>
      </c>
      <c r="D2531" t="inlineStr">
        <is>
          <t>VÄSTRA GÖTALANDS LÄN</t>
        </is>
      </c>
      <c r="E2531" t="inlineStr">
        <is>
          <t>VARA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24464-2019</t>
        </is>
      </c>
      <c r="B2532" s="1" t="n">
        <v>43600</v>
      </c>
      <c r="C2532" s="1" t="n">
        <v>45227</v>
      </c>
      <c r="D2532" t="inlineStr">
        <is>
          <t>VÄSTRA GÖTALANDS LÄN</t>
        </is>
      </c>
      <c r="E2532" t="inlineStr">
        <is>
          <t>ÅMÅL</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24507-2019</t>
        </is>
      </c>
      <c r="B2533" s="1" t="n">
        <v>43600</v>
      </c>
      <c r="C2533" s="1" t="n">
        <v>45227</v>
      </c>
      <c r="D2533" t="inlineStr">
        <is>
          <t>VÄSTRA GÖTALANDS LÄN</t>
        </is>
      </c>
      <c r="E2533" t="inlineStr">
        <is>
          <t>SKARA</t>
        </is>
      </c>
      <c r="F2533" t="inlineStr">
        <is>
          <t>Kyrkan</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24545-2019</t>
        </is>
      </c>
      <c r="B2534" s="1" t="n">
        <v>43600</v>
      </c>
      <c r="C2534" s="1" t="n">
        <v>45227</v>
      </c>
      <c r="D2534" t="inlineStr">
        <is>
          <t>VÄSTRA GÖTALANDS LÄN</t>
        </is>
      </c>
      <c r="E2534" t="inlineStr">
        <is>
          <t>SKARA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24458-2019</t>
        </is>
      </c>
      <c r="B2535" s="1" t="n">
        <v>43600</v>
      </c>
      <c r="C2535" s="1" t="n">
        <v>45227</v>
      </c>
      <c r="D2535" t="inlineStr">
        <is>
          <t>VÄSTRA GÖTALANDS LÄN</t>
        </is>
      </c>
      <c r="E2535" t="inlineStr">
        <is>
          <t>TROLLHÄTTAN</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24652-2019</t>
        </is>
      </c>
      <c r="B2536" s="1" t="n">
        <v>43601</v>
      </c>
      <c r="C2536" s="1" t="n">
        <v>45227</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25595-2019</t>
        </is>
      </c>
      <c r="B2537" s="1" t="n">
        <v>43601</v>
      </c>
      <c r="C2537" s="1" t="n">
        <v>45227</v>
      </c>
      <c r="D2537" t="inlineStr">
        <is>
          <t>VÄSTRA GÖTALANDS LÄN</t>
        </is>
      </c>
      <c r="E2537" t="inlineStr">
        <is>
          <t>BENGTSFORS</t>
        </is>
      </c>
      <c r="F2537" t="inlineStr">
        <is>
          <t>Kyrkan</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24653-2019</t>
        </is>
      </c>
      <c r="B2538" s="1" t="n">
        <v>43601</v>
      </c>
      <c r="C2538" s="1" t="n">
        <v>45227</v>
      </c>
      <c r="D2538" t="inlineStr">
        <is>
          <t>VÄSTRA GÖTALANDS LÄN</t>
        </is>
      </c>
      <c r="E2538" t="inlineStr">
        <is>
          <t>ULRICEHAMN</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24675-2019</t>
        </is>
      </c>
      <c r="B2539" s="1" t="n">
        <v>43601</v>
      </c>
      <c r="C2539" s="1" t="n">
        <v>45227</v>
      </c>
      <c r="D2539" t="inlineStr">
        <is>
          <t>VÄSTRA GÖTALANDS LÄN</t>
        </is>
      </c>
      <c r="E2539" t="inlineStr">
        <is>
          <t>TROLLHÄTTAN</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24681-2019</t>
        </is>
      </c>
      <c r="B2540" s="1" t="n">
        <v>43601</v>
      </c>
      <c r="C2540" s="1" t="n">
        <v>45227</v>
      </c>
      <c r="D2540" t="inlineStr">
        <is>
          <t>VÄSTRA GÖTALANDS LÄN</t>
        </is>
      </c>
      <c r="E2540" t="inlineStr">
        <is>
          <t>UDDEVALLA</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24596-2019</t>
        </is>
      </c>
      <c r="B2541" s="1" t="n">
        <v>43601</v>
      </c>
      <c r="C2541" s="1" t="n">
        <v>45227</v>
      </c>
      <c r="D2541" t="inlineStr">
        <is>
          <t>VÄSTRA GÖTALANDS LÄN</t>
        </is>
      </c>
      <c r="E2541" t="inlineStr">
        <is>
          <t>MARK</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24618-2019</t>
        </is>
      </c>
      <c r="B2542" s="1" t="n">
        <v>43601</v>
      </c>
      <c r="C2542" s="1" t="n">
        <v>45227</v>
      </c>
      <c r="D2542" t="inlineStr">
        <is>
          <t>VÄSTRA GÖTALANDS LÄN</t>
        </is>
      </c>
      <c r="E2542" t="inlineStr">
        <is>
          <t>TRANEMO</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24731-2019</t>
        </is>
      </c>
      <c r="B2543" s="1" t="n">
        <v>43601</v>
      </c>
      <c r="C2543" s="1" t="n">
        <v>45227</v>
      </c>
      <c r="D2543" t="inlineStr">
        <is>
          <t>VÄSTRA GÖTALANDS LÄN</t>
        </is>
      </c>
      <c r="E2543" t="inlineStr">
        <is>
          <t>TIDAHOLM</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25454-2019</t>
        </is>
      </c>
      <c r="B2544" s="1" t="n">
        <v>43601</v>
      </c>
      <c r="C2544" s="1" t="n">
        <v>45227</v>
      </c>
      <c r="D2544" t="inlineStr">
        <is>
          <t>VÄSTRA GÖTALANDS LÄN</t>
        </is>
      </c>
      <c r="E2544" t="inlineStr">
        <is>
          <t>BORÅS</t>
        </is>
      </c>
      <c r="F2544" t="inlineStr">
        <is>
          <t>Kommuner</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24951-2019</t>
        </is>
      </c>
      <c r="B2545" s="1" t="n">
        <v>43602</v>
      </c>
      <c r="C2545" s="1" t="n">
        <v>45227</v>
      </c>
      <c r="D2545" t="inlineStr">
        <is>
          <t>VÄSTRA GÖTALANDS LÄN</t>
        </is>
      </c>
      <c r="E2545" t="inlineStr">
        <is>
          <t>MELLERUD</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25646-2019</t>
        </is>
      </c>
      <c r="B2546" s="1" t="n">
        <v>43602</v>
      </c>
      <c r="C2546" s="1" t="n">
        <v>45227</v>
      </c>
      <c r="D2546" t="inlineStr">
        <is>
          <t>VÄSTRA GÖTALANDS LÄN</t>
        </is>
      </c>
      <c r="E2546" t="inlineStr">
        <is>
          <t>ALINGSÅS</t>
        </is>
      </c>
      <c r="G2546" t="n">
        <v>3</v>
      </c>
      <c r="H2546" t="n">
        <v>0</v>
      </c>
      <c r="I2546" t="n">
        <v>0</v>
      </c>
      <c r="J2546" t="n">
        <v>0</v>
      </c>
      <c r="K2546" t="n">
        <v>0</v>
      </c>
      <c r="L2546" t="n">
        <v>0</v>
      </c>
      <c r="M2546" t="n">
        <v>0</v>
      </c>
      <c r="N2546" t="n">
        <v>0</v>
      </c>
      <c r="O2546" t="n">
        <v>0</v>
      </c>
      <c r="P2546" t="n">
        <v>0</v>
      </c>
      <c r="Q2546" t="n">
        <v>0</v>
      </c>
      <c r="R2546" s="2" t="inlineStr"/>
    </row>
    <row r="2547" ht="15" customHeight="1">
      <c r="A2547" t="inlineStr">
        <is>
          <t>A 24869-2019</t>
        </is>
      </c>
      <c r="B2547" s="1" t="n">
        <v>43602</v>
      </c>
      <c r="C2547" s="1" t="n">
        <v>45227</v>
      </c>
      <c r="D2547" t="inlineStr">
        <is>
          <t>VÄSTRA GÖTALANDS LÄN</t>
        </is>
      </c>
      <c r="E2547" t="inlineStr">
        <is>
          <t>ESSUNGA</t>
        </is>
      </c>
      <c r="G2547" t="n">
        <v>7.1</v>
      </c>
      <c r="H2547" t="n">
        <v>0</v>
      </c>
      <c r="I2547" t="n">
        <v>0</v>
      </c>
      <c r="J2547" t="n">
        <v>0</v>
      </c>
      <c r="K2547" t="n">
        <v>0</v>
      </c>
      <c r="L2547" t="n">
        <v>0</v>
      </c>
      <c r="M2547" t="n">
        <v>0</v>
      </c>
      <c r="N2547" t="n">
        <v>0</v>
      </c>
      <c r="O2547" t="n">
        <v>0</v>
      </c>
      <c r="P2547" t="n">
        <v>0</v>
      </c>
      <c r="Q2547" t="n">
        <v>0</v>
      </c>
      <c r="R2547" s="2" t="inlineStr"/>
    </row>
    <row r="2548" ht="15" customHeight="1">
      <c r="A2548" t="inlineStr">
        <is>
          <t>A 24956-2019</t>
        </is>
      </c>
      <c r="B2548" s="1" t="n">
        <v>43602</v>
      </c>
      <c r="C2548" s="1" t="n">
        <v>45227</v>
      </c>
      <c r="D2548" t="inlineStr">
        <is>
          <t>VÄSTRA GÖTALANDS LÄN</t>
        </is>
      </c>
      <c r="E2548" t="inlineStr">
        <is>
          <t>VÄNERSBORG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25649-2019</t>
        </is>
      </c>
      <c r="B2549" s="1" t="n">
        <v>43602</v>
      </c>
      <c r="C2549" s="1" t="n">
        <v>45227</v>
      </c>
      <c r="D2549" t="inlineStr">
        <is>
          <t>VÄSTRA GÖTALANDS LÄN</t>
        </is>
      </c>
      <c r="E2549" t="inlineStr">
        <is>
          <t>ALINGSÅS</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24880-2019</t>
        </is>
      </c>
      <c r="B2550" s="1" t="n">
        <v>43602</v>
      </c>
      <c r="C2550" s="1" t="n">
        <v>45227</v>
      </c>
      <c r="D2550" t="inlineStr">
        <is>
          <t>VÄSTRA GÖTALANDS LÄN</t>
        </is>
      </c>
      <c r="E2550" t="inlineStr">
        <is>
          <t>ULRICEHAMN</t>
        </is>
      </c>
      <c r="G2550" t="n">
        <v>3.1</v>
      </c>
      <c r="H2550" t="n">
        <v>0</v>
      </c>
      <c r="I2550" t="n">
        <v>0</v>
      </c>
      <c r="J2550" t="n">
        <v>0</v>
      </c>
      <c r="K2550" t="n">
        <v>0</v>
      </c>
      <c r="L2550" t="n">
        <v>0</v>
      </c>
      <c r="M2550" t="n">
        <v>0</v>
      </c>
      <c r="N2550" t="n">
        <v>0</v>
      </c>
      <c r="O2550" t="n">
        <v>0</v>
      </c>
      <c r="P2550" t="n">
        <v>0</v>
      </c>
      <c r="Q2550" t="n">
        <v>0</v>
      </c>
      <c r="R2550" s="2" t="inlineStr"/>
    </row>
    <row r="2551" ht="15" customHeight="1">
      <c r="A2551" t="inlineStr">
        <is>
          <t>A 24962-2019</t>
        </is>
      </c>
      <c r="B2551" s="1" t="n">
        <v>43602</v>
      </c>
      <c r="C2551" s="1" t="n">
        <v>45227</v>
      </c>
      <c r="D2551" t="inlineStr">
        <is>
          <t>VÄSTRA GÖTALANDS LÄN</t>
        </is>
      </c>
      <c r="E2551" t="inlineStr">
        <is>
          <t>VÄNERSBORG</t>
        </is>
      </c>
      <c r="G2551" t="n">
        <v>0.1</v>
      </c>
      <c r="H2551" t="n">
        <v>0</v>
      </c>
      <c r="I2551" t="n">
        <v>0</v>
      </c>
      <c r="J2551" t="n">
        <v>0</v>
      </c>
      <c r="K2551" t="n">
        <v>0</v>
      </c>
      <c r="L2551" t="n">
        <v>0</v>
      </c>
      <c r="M2551" t="n">
        <v>0</v>
      </c>
      <c r="N2551" t="n">
        <v>0</v>
      </c>
      <c r="O2551" t="n">
        <v>0</v>
      </c>
      <c r="P2551" t="n">
        <v>0</v>
      </c>
      <c r="Q2551" t="n">
        <v>0</v>
      </c>
      <c r="R2551" s="2" t="inlineStr"/>
    </row>
    <row r="2552" ht="15" customHeight="1">
      <c r="A2552" t="inlineStr">
        <is>
          <t>A 25058-2019</t>
        </is>
      </c>
      <c r="B2552" s="1" t="n">
        <v>43604</v>
      </c>
      <c r="C2552" s="1" t="n">
        <v>45227</v>
      </c>
      <c r="D2552" t="inlineStr">
        <is>
          <t>VÄSTRA GÖTALANDS LÄN</t>
        </is>
      </c>
      <c r="E2552" t="inlineStr">
        <is>
          <t>FALKÖPING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25057-2019</t>
        </is>
      </c>
      <c r="B2553" s="1" t="n">
        <v>43604</v>
      </c>
      <c r="C2553" s="1" t="n">
        <v>45227</v>
      </c>
      <c r="D2553" t="inlineStr">
        <is>
          <t>VÄSTRA GÖTALANDS LÄN</t>
        </is>
      </c>
      <c r="E2553" t="inlineStr">
        <is>
          <t>FALKÖPING</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25156-2019</t>
        </is>
      </c>
      <c r="B2554" s="1" t="n">
        <v>43605</v>
      </c>
      <c r="C2554" s="1" t="n">
        <v>45227</v>
      </c>
      <c r="D2554" t="inlineStr">
        <is>
          <t>VÄSTRA GÖTALANDS LÄN</t>
        </is>
      </c>
      <c r="E2554" t="inlineStr">
        <is>
          <t>VARA</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25268-2019</t>
        </is>
      </c>
      <c r="B2555" s="1" t="n">
        <v>43605</v>
      </c>
      <c r="C2555" s="1" t="n">
        <v>45227</v>
      </c>
      <c r="D2555" t="inlineStr">
        <is>
          <t>VÄSTRA GÖTALANDS LÄN</t>
        </is>
      </c>
      <c r="E2555" t="inlineStr">
        <is>
          <t>TANUM</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25276-2019</t>
        </is>
      </c>
      <c r="B2556" s="1" t="n">
        <v>43605</v>
      </c>
      <c r="C2556" s="1" t="n">
        <v>45227</v>
      </c>
      <c r="D2556" t="inlineStr">
        <is>
          <t>VÄSTRA GÖTALANDS LÄN</t>
        </is>
      </c>
      <c r="E2556" t="inlineStr">
        <is>
          <t>TANUM</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25183-2019</t>
        </is>
      </c>
      <c r="B2557" s="1" t="n">
        <v>43605</v>
      </c>
      <c r="C2557" s="1" t="n">
        <v>45227</v>
      </c>
      <c r="D2557" t="inlineStr">
        <is>
          <t>VÄSTRA GÖTALANDS LÄN</t>
        </is>
      </c>
      <c r="E2557" t="inlineStr">
        <is>
          <t>FALKÖPING</t>
        </is>
      </c>
      <c r="F2557" t="inlineStr">
        <is>
          <t>Kyrkan</t>
        </is>
      </c>
      <c r="G2557" t="n">
        <v>2.5</v>
      </c>
      <c r="H2557" t="n">
        <v>0</v>
      </c>
      <c r="I2557" t="n">
        <v>0</v>
      </c>
      <c r="J2557" t="n">
        <v>0</v>
      </c>
      <c r="K2557" t="n">
        <v>0</v>
      </c>
      <c r="L2557" t="n">
        <v>0</v>
      </c>
      <c r="M2557" t="n">
        <v>0</v>
      </c>
      <c r="N2557" t="n">
        <v>0</v>
      </c>
      <c r="O2557" t="n">
        <v>0</v>
      </c>
      <c r="P2557" t="n">
        <v>0</v>
      </c>
      <c r="Q2557" t="n">
        <v>0</v>
      </c>
      <c r="R2557" s="2" t="inlineStr"/>
    </row>
    <row r="2558" ht="15" customHeight="1">
      <c r="A2558" t="inlineStr">
        <is>
          <t>A 25225-2019</t>
        </is>
      </c>
      <c r="B2558" s="1" t="n">
        <v>43605</v>
      </c>
      <c r="C2558" s="1" t="n">
        <v>45227</v>
      </c>
      <c r="D2558" t="inlineStr">
        <is>
          <t>VÄSTRA GÖTALANDS LÄN</t>
        </is>
      </c>
      <c r="E2558" t="inlineStr">
        <is>
          <t>STRÖMSTAD</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25247-2019</t>
        </is>
      </c>
      <c r="B2559" s="1" t="n">
        <v>43605</v>
      </c>
      <c r="C2559" s="1" t="n">
        <v>45227</v>
      </c>
      <c r="D2559" t="inlineStr">
        <is>
          <t>VÄSTRA GÖTALANDS LÄN</t>
        </is>
      </c>
      <c r="E2559" t="inlineStr">
        <is>
          <t>ULRICEHAMN</t>
        </is>
      </c>
      <c r="F2559" t="inlineStr">
        <is>
          <t>Kommuner</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25177-2019</t>
        </is>
      </c>
      <c r="B2560" s="1" t="n">
        <v>43605</v>
      </c>
      <c r="C2560" s="1" t="n">
        <v>45227</v>
      </c>
      <c r="D2560" t="inlineStr">
        <is>
          <t>VÄSTRA GÖTALANDS LÄN</t>
        </is>
      </c>
      <c r="E2560" t="inlineStr">
        <is>
          <t>VARA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25302-2019</t>
        </is>
      </c>
      <c r="B2561" s="1" t="n">
        <v>43605</v>
      </c>
      <c r="C2561" s="1" t="n">
        <v>45227</v>
      </c>
      <c r="D2561" t="inlineStr">
        <is>
          <t>VÄSTRA GÖTALANDS LÄN</t>
        </is>
      </c>
      <c r="E2561" t="inlineStr">
        <is>
          <t>TANUM</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25161-2019</t>
        </is>
      </c>
      <c r="B2562" s="1" t="n">
        <v>43605</v>
      </c>
      <c r="C2562" s="1" t="n">
        <v>45227</v>
      </c>
      <c r="D2562" t="inlineStr">
        <is>
          <t>VÄSTRA GÖTALANDS LÄN</t>
        </is>
      </c>
      <c r="E2562" t="inlineStr">
        <is>
          <t>MARIESTAD</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25237-2019</t>
        </is>
      </c>
      <c r="B2563" s="1" t="n">
        <v>43605</v>
      </c>
      <c r="C2563" s="1" t="n">
        <v>45227</v>
      </c>
      <c r="D2563" t="inlineStr">
        <is>
          <t>VÄSTRA GÖTALANDS LÄN</t>
        </is>
      </c>
      <c r="E2563" t="inlineStr">
        <is>
          <t>VÅRGÅRDA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25369-2019</t>
        </is>
      </c>
      <c r="B2564" s="1" t="n">
        <v>43606</v>
      </c>
      <c r="C2564" s="1" t="n">
        <v>45227</v>
      </c>
      <c r="D2564" t="inlineStr">
        <is>
          <t>VÄSTRA GÖTALANDS LÄN</t>
        </is>
      </c>
      <c r="E2564" t="inlineStr">
        <is>
          <t>TANUM</t>
        </is>
      </c>
      <c r="G2564" t="n">
        <v>2.8</v>
      </c>
      <c r="H2564" t="n">
        <v>0</v>
      </c>
      <c r="I2564" t="n">
        <v>0</v>
      </c>
      <c r="J2564" t="n">
        <v>0</v>
      </c>
      <c r="K2564" t="n">
        <v>0</v>
      </c>
      <c r="L2564" t="n">
        <v>0</v>
      </c>
      <c r="M2564" t="n">
        <v>0</v>
      </c>
      <c r="N2564" t="n">
        <v>0</v>
      </c>
      <c r="O2564" t="n">
        <v>0</v>
      </c>
      <c r="P2564" t="n">
        <v>0</v>
      </c>
      <c r="Q2564" t="n">
        <v>0</v>
      </c>
      <c r="R2564" s="2" t="inlineStr"/>
    </row>
    <row r="2565" ht="15" customHeight="1">
      <c r="A2565" t="inlineStr">
        <is>
          <t>A 25415-2019</t>
        </is>
      </c>
      <c r="B2565" s="1" t="n">
        <v>43606</v>
      </c>
      <c r="C2565" s="1" t="n">
        <v>45227</v>
      </c>
      <c r="D2565" t="inlineStr">
        <is>
          <t>VÄSTRA GÖTALANDS LÄN</t>
        </is>
      </c>
      <c r="E2565" t="inlineStr">
        <is>
          <t>VÅRGÅRDA</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25531-2019</t>
        </is>
      </c>
      <c r="B2566" s="1" t="n">
        <v>43606</v>
      </c>
      <c r="C2566" s="1" t="n">
        <v>45227</v>
      </c>
      <c r="D2566" t="inlineStr">
        <is>
          <t>VÄSTRA GÖTALANDS LÄN</t>
        </is>
      </c>
      <c r="E2566" t="inlineStr">
        <is>
          <t>TRANEMO</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25359-2019</t>
        </is>
      </c>
      <c r="B2567" s="1" t="n">
        <v>43606</v>
      </c>
      <c r="C2567" s="1" t="n">
        <v>45227</v>
      </c>
      <c r="D2567" t="inlineStr">
        <is>
          <t>VÄSTRA GÖTALANDS LÄN</t>
        </is>
      </c>
      <c r="E2567" t="inlineStr">
        <is>
          <t>LIDKÖPING</t>
        </is>
      </c>
      <c r="G2567" t="n">
        <v>4.7</v>
      </c>
      <c r="H2567" t="n">
        <v>0</v>
      </c>
      <c r="I2567" t="n">
        <v>0</v>
      </c>
      <c r="J2567" t="n">
        <v>0</v>
      </c>
      <c r="K2567" t="n">
        <v>0</v>
      </c>
      <c r="L2567" t="n">
        <v>0</v>
      </c>
      <c r="M2567" t="n">
        <v>0</v>
      </c>
      <c r="N2567" t="n">
        <v>0</v>
      </c>
      <c r="O2567" t="n">
        <v>0</v>
      </c>
      <c r="P2567" t="n">
        <v>0</v>
      </c>
      <c r="Q2567" t="n">
        <v>0</v>
      </c>
      <c r="R2567" s="2" t="inlineStr"/>
    </row>
    <row r="2568" ht="15" customHeight="1">
      <c r="A2568" t="inlineStr">
        <is>
          <t>A 25374-2019</t>
        </is>
      </c>
      <c r="B2568" s="1" t="n">
        <v>43606</v>
      </c>
      <c r="C2568" s="1" t="n">
        <v>45227</v>
      </c>
      <c r="D2568" t="inlineStr">
        <is>
          <t>VÄSTRA GÖTALANDS LÄN</t>
        </is>
      </c>
      <c r="E2568" t="inlineStr">
        <is>
          <t>ULRICEHAMN</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26328-2019</t>
        </is>
      </c>
      <c r="B2569" s="1" t="n">
        <v>43606</v>
      </c>
      <c r="C2569" s="1" t="n">
        <v>45227</v>
      </c>
      <c r="D2569" t="inlineStr">
        <is>
          <t>VÄSTRA GÖTALANDS LÄN</t>
        </is>
      </c>
      <c r="E2569" t="inlineStr">
        <is>
          <t>MARK</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26432-2019</t>
        </is>
      </c>
      <c r="B2570" s="1" t="n">
        <v>43606</v>
      </c>
      <c r="C2570" s="1" t="n">
        <v>45227</v>
      </c>
      <c r="D2570" t="inlineStr">
        <is>
          <t>VÄSTRA GÖTALANDS LÄN</t>
        </is>
      </c>
      <c r="E2570" t="inlineStr">
        <is>
          <t>SKARA</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25345-2019</t>
        </is>
      </c>
      <c r="B2571" s="1" t="n">
        <v>43606</v>
      </c>
      <c r="C2571" s="1" t="n">
        <v>45227</v>
      </c>
      <c r="D2571" t="inlineStr">
        <is>
          <t>VÄSTRA GÖTALANDS LÄN</t>
        </is>
      </c>
      <c r="E2571" t="inlineStr">
        <is>
          <t>HÄRRYDA</t>
        </is>
      </c>
      <c r="G2571" t="n">
        <v>10.9</v>
      </c>
      <c r="H2571" t="n">
        <v>0</v>
      </c>
      <c r="I2571" t="n">
        <v>0</v>
      </c>
      <c r="J2571" t="n">
        <v>0</v>
      </c>
      <c r="K2571" t="n">
        <v>0</v>
      </c>
      <c r="L2571" t="n">
        <v>0</v>
      </c>
      <c r="M2571" t="n">
        <v>0</v>
      </c>
      <c r="N2571" t="n">
        <v>0</v>
      </c>
      <c r="O2571" t="n">
        <v>0</v>
      </c>
      <c r="P2571" t="n">
        <v>0</v>
      </c>
      <c r="Q2571" t="n">
        <v>0</v>
      </c>
      <c r="R2571" s="2" t="inlineStr"/>
    </row>
    <row r="2572" ht="15" customHeight="1">
      <c r="A2572" t="inlineStr">
        <is>
          <t>A 25380-2019</t>
        </is>
      </c>
      <c r="B2572" s="1" t="n">
        <v>43606</v>
      </c>
      <c r="C2572" s="1" t="n">
        <v>45227</v>
      </c>
      <c r="D2572" t="inlineStr">
        <is>
          <t>VÄSTRA GÖTALANDS LÄN</t>
        </is>
      </c>
      <c r="E2572" t="inlineStr">
        <is>
          <t>LIDKÖPING</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25411-2019</t>
        </is>
      </c>
      <c r="B2573" s="1" t="n">
        <v>43606</v>
      </c>
      <c r="C2573" s="1" t="n">
        <v>45227</v>
      </c>
      <c r="D2573" t="inlineStr">
        <is>
          <t>VÄSTRA GÖTALANDS LÄN</t>
        </is>
      </c>
      <c r="E2573" t="inlineStr">
        <is>
          <t>ORUST</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25424-2019</t>
        </is>
      </c>
      <c r="B2574" s="1" t="n">
        <v>43606</v>
      </c>
      <c r="C2574" s="1" t="n">
        <v>45227</v>
      </c>
      <c r="D2574" t="inlineStr">
        <is>
          <t>VÄSTRA GÖTALANDS LÄN</t>
        </is>
      </c>
      <c r="E2574" t="inlineStr">
        <is>
          <t>ORUST</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25444-2019</t>
        </is>
      </c>
      <c r="B2575" s="1" t="n">
        <v>43606</v>
      </c>
      <c r="C2575" s="1" t="n">
        <v>45227</v>
      </c>
      <c r="D2575" t="inlineStr">
        <is>
          <t>VÄSTRA GÖTALANDS LÄN</t>
        </is>
      </c>
      <c r="E2575" t="inlineStr">
        <is>
          <t>VÄNERSBORG</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25524-2019</t>
        </is>
      </c>
      <c r="B2576" s="1" t="n">
        <v>43606</v>
      </c>
      <c r="C2576" s="1" t="n">
        <v>45227</v>
      </c>
      <c r="D2576" t="inlineStr">
        <is>
          <t>VÄSTRA GÖTALANDS LÄN</t>
        </is>
      </c>
      <c r="E2576" t="inlineStr">
        <is>
          <t>HJO</t>
        </is>
      </c>
      <c r="G2576" t="n">
        <v>7.7</v>
      </c>
      <c r="H2576" t="n">
        <v>0</v>
      </c>
      <c r="I2576" t="n">
        <v>0</v>
      </c>
      <c r="J2576" t="n">
        <v>0</v>
      </c>
      <c r="K2576" t="n">
        <v>0</v>
      </c>
      <c r="L2576" t="n">
        <v>0</v>
      </c>
      <c r="M2576" t="n">
        <v>0</v>
      </c>
      <c r="N2576" t="n">
        <v>0</v>
      </c>
      <c r="O2576" t="n">
        <v>0</v>
      </c>
      <c r="P2576" t="n">
        <v>0</v>
      </c>
      <c r="Q2576" t="n">
        <v>0</v>
      </c>
      <c r="R2576" s="2" t="inlineStr"/>
    </row>
    <row r="2577" ht="15" customHeight="1">
      <c r="A2577" t="inlineStr">
        <is>
          <t>A 25530-2019</t>
        </is>
      </c>
      <c r="B2577" s="1" t="n">
        <v>43606</v>
      </c>
      <c r="C2577" s="1" t="n">
        <v>45227</v>
      </c>
      <c r="D2577" t="inlineStr">
        <is>
          <t>VÄSTRA GÖTALANDS LÄN</t>
        </is>
      </c>
      <c r="E2577" t="inlineStr">
        <is>
          <t>TRANEMO</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26363-2019</t>
        </is>
      </c>
      <c r="B2578" s="1" t="n">
        <v>43606</v>
      </c>
      <c r="C2578" s="1" t="n">
        <v>45227</v>
      </c>
      <c r="D2578" t="inlineStr">
        <is>
          <t>VÄSTRA GÖTALANDS LÄN</t>
        </is>
      </c>
      <c r="E2578" t="inlineStr">
        <is>
          <t>VARA</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25372-2019</t>
        </is>
      </c>
      <c r="B2579" s="1" t="n">
        <v>43606</v>
      </c>
      <c r="C2579" s="1" t="n">
        <v>45227</v>
      </c>
      <c r="D2579" t="inlineStr">
        <is>
          <t>VÄSTRA GÖTALANDS LÄN</t>
        </is>
      </c>
      <c r="E2579" t="inlineStr">
        <is>
          <t>ULRICEHAMN</t>
        </is>
      </c>
      <c r="G2579" t="n">
        <v>4.3</v>
      </c>
      <c r="H2579" t="n">
        <v>0</v>
      </c>
      <c r="I2579" t="n">
        <v>0</v>
      </c>
      <c r="J2579" t="n">
        <v>0</v>
      </c>
      <c r="K2579" t="n">
        <v>0</v>
      </c>
      <c r="L2579" t="n">
        <v>0</v>
      </c>
      <c r="M2579" t="n">
        <v>0</v>
      </c>
      <c r="N2579" t="n">
        <v>0</v>
      </c>
      <c r="O2579" t="n">
        <v>0</v>
      </c>
      <c r="P2579" t="n">
        <v>0</v>
      </c>
      <c r="Q2579" t="n">
        <v>0</v>
      </c>
      <c r="R2579" s="2" t="inlineStr"/>
    </row>
    <row r="2580" ht="15" customHeight="1">
      <c r="A2580" t="inlineStr">
        <is>
          <t>A 25378-2019</t>
        </is>
      </c>
      <c r="B2580" s="1" t="n">
        <v>43606</v>
      </c>
      <c r="C2580" s="1" t="n">
        <v>45227</v>
      </c>
      <c r="D2580" t="inlineStr">
        <is>
          <t>VÄSTRA GÖTALANDS LÄN</t>
        </is>
      </c>
      <c r="E2580" t="inlineStr">
        <is>
          <t>LIDKÖPING</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25417-2019</t>
        </is>
      </c>
      <c r="B2581" s="1" t="n">
        <v>43606</v>
      </c>
      <c r="C2581" s="1" t="n">
        <v>45227</v>
      </c>
      <c r="D2581" t="inlineStr">
        <is>
          <t>VÄSTRA GÖTALANDS LÄN</t>
        </is>
      </c>
      <c r="E2581" t="inlineStr">
        <is>
          <t>BOLLEBYGD</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25505-2019</t>
        </is>
      </c>
      <c r="B2582" s="1" t="n">
        <v>43606</v>
      </c>
      <c r="C2582" s="1" t="n">
        <v>45227</v>
      </c>
      <c r="D2582" t="inlineStr">
        <is>
          <t>VÄSTRA GÖTALANDS LÄN</t>
        </is>
      </c>
      <c r="E2582" t="inlineStr">
        <is>
          <t>ULRICEHAMN</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25532-2019</t>
        </is>
      </c>
      <c r="B2583" s="1" t="n">
        <v>43606</v>
      </c>
      <c r="C2583" s="1" t="n">
        <v>45227</v>
      </c>
      <c r="D2583" t="inlineStr">
        <is>
          <t>VÄSTRA GÖTALANDS LÄN</t>
        </is>
      </c>
      <c r="E2583" t="inlineStr">
        <is>
          <t>TRANEMO</t>
        </is>
      </c>
      <c r="G2583" t="n">
        <v>3.9</v>
      </c>
      <c r="H2583" t="n">
        <v>0</v>
      </c>
      <c r="I2583" t="n">
        <v>0</v>
      </c>
      <c r="J2583" t="n">
        <v>0</v>
      </c>
      <c r="K2583" t="n">
        <v>0</v>
      </c>
      <c r="L2583" t="n">
        <v>0</v>
      </c>
      <c r="M2583" t="n">
        <v>0</v>
      </c>
      <c r="N2583" t="n">
        <v>0</v>
      </c>
      <c r="O2583" t="n">
        <v>0</v>
      </c>
      <c r="P2583" t="n">
        <v>0</v>
      </c>
      <c r="Q2583" t="n">
        <v>0</v>
      </c>
      <c r="R2583" s="2" t="inlineStr"/>
    </row>
    <row r="2584" ht="15" customHeight="1">
      <c r="A2584" t="inlineStr">
        <is>
          <t>A 26324-2019</t>
        </is>
      </c>
      <c r="B2584" s="1" t="n">
        <v>43606</v>
      </c>
      <c r="C2584" s="1" t="n">
        <v>45227</v>
      </c>
      <c r="D2584" t="inlineStr">
        <is>
          <t>VÄSTRA GÖTALANDS LÄN</t>
        </is>
      </c>
      <c r="E2584" t="inlineStr">
        <is>
          <t>MARK</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26425-2019</t>
        </is>
      </c>
      <c r="B2585" s="1" t="n">
        <v>43606</v>
      </c>
      <c r="C2585" s="1" t="n">
        <v>45227</v>
      </c>
      <c r="D2585" t="inlineStr">
        <is>
          <t>VÄSTRA GÖTALANDS LÄN</t>
        </is>
      </c>
      <c r="E2585" t="inlineStr">
        <is>
          <t>LIDKÖPING</t>
        </is>
      </c>
      <c r="F2585" t="inlineStr">
        <is>
          <t>Kommuner</t>
        </is>
      </c>
      <c r="G2585" t="n">
        <v>6.8</v>
      </c>
      <c r="H2585" t="n">
        <v>0</v>
      </c>
      <c r="I2585" t="n">
        <v>0</v>
      </c>
      <c r="J2585" t="n">
        <v>0</v>
      </c>
      <c r="K2585" t="n">
        <v>0</v>
      </c>
      <c r="L2585" t="n">
        <v>0</v>
      </c>
      <c r="M2585" t="n">
        <v>0</v>
      </c>
      <c r="N2585" t="n">
        <v>0</v>
      </c>
      <c r="O2585" t="n">
        <v>0</v>
      </c>
      <c r="P2585" t="n">
        <v>0</v>
      </c>
      <c r="Q2585" t="n">
        <v>0</v>
      </c>
      <c r="R2585" s="2" t="inlineStr"/>
    </row>
    <row r="2586" ht="15" customHeight="1">
      <c r="A2586" t="inlineStr">
        <is>
          <t>A 25579-2019</t>
        </is>
      </c>
      <c r="B2586" s="1" t="n">
        <v>43607</v>
      </c>
      <c r="C2586" s="1" t="n">
        <v>45227</v>
      </c>
      <c r="D2586" t="inlineStr">
        <is>
          <t>VÄSTRA GÖTALANDS LÄN</t>
        </is>
      </c>
      <c r="E2586" t="inlineStr">
        <is>
          <t>SKARA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25605-2019</t>
        </is>
      </c>
      <c r="B2587" s="1" t="n">
        <v>43607</v>
      </c>
      <c r="C2587" s="1" t="n">
        <v>45227</v>
      </c>
      <c r="D2587" t="inlineStr">
        <is>
          <t>VÄSTRA GÖTALANDS LÄN</t>
        </is>
      </c>
      <c r="E2587" t="inlineStr">
        <is>
          <t>FALKÖPING</t>
        </is>
      </c>
      <c r="G2587" t="n">
        <v>4</v>
      </c>
      <c r="H2587" t="n">
        <v>0</v>
      </c>
      <c r="I2587" t="n">
        <v>0</v>
      </c>
      <c r="J2587" t="n">
        <v>0</v>
      </c>
      <c r="K2587" t="n">
        <v>0</v>
      </c>
      <c r="L2587" t="n">
        <v>0</v>
      </c>
      <c r="M2587" t="n">
        <v>0</v>
      </c>
      <c r="N2587" t="n">
        <v>0</v>
      </c>
      <c r="O2587" t="n">
        <v>0</v>
      </c>
      <c r="P2587" t="n">
        <v>0</v>
      </c>
      <c r="Q2587" t="n">
        <v>0</v>
      </c>
      <c r="R2587" s="2" t="inlineStr"/>
    </row>
    <row r="2588" ht="15" customHeight="1">
      <c r="A2588" t="inlineStr">
        <is>
          <t>A 25724-2019</t>
        </is>
      </c>
      <c r="B2588" s="1" t="n">
        <v>43608</v>
      </c>
      <c r="C2588" s="1" t="n">
        <v>45227</v>
      </c>
      <c r="D2588" t="inlineStr">
        <is>
          <t>VÄSTRA GÖTALANDS LÄN</t>
        </is>
      </c>
      <c r="E2588" t="inlineStr">
        <is>
          <t>TRANEMO</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25812-2019</t>
        </is>
      </c>
      <c r="B2589" s="1" t="n">
        <v>43608</v>
      </c>
      <c r="C2589" s="1" t="n">
        <v>45227</v>
      </c>
      <c r="D2589" t="inlineStr">
        <is>
          <t>VÄSTRA GÖTALANDS LÄN</t>
        </is>
      </c>
      <c r="E2589" t="inlineStr">
        <is>
          <t>TANUM</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25837-2019</t>
        </is>
      </c>
      <c r="B2590" s="1" t="n">
        <v>43608</v>
      </c>
      <c r="C2590" s="1" t="n">
        <v>45227</v>
      </c>
      <c r="D2590" t="inlineStr">
        <is>
          <t>VÄSTRA GÖTALANDS LÄN</t>
        </is>
      </c>
      <c r="E2590" t="inlineStr">
        <is>
          <t>TANUM</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25938-2019</t>
        </is>
      </c>
      <c r="B2591" s="1" t="n">
        <v>43608</v>
      </c>
      <c r="C2591" s="1" t="n">
        <v>45227</v>
      </c>
      <c r="D2591" t="inlineStr">
        <is>
          <t>VÄSTRA GÖTALANDS LÄN</t>
        </is>
      </c>
      <c r="E2591" t="inlineStr">
        <is>
          <t>MELLERUD</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25723-2019</t>
        </is>
      </c>
      <c r="B2592" s="1" t="n">
        <v>43608</v>
      </c>
      <c r="C2592" s="1" t="n">
        <v>45227</v>
      </c>
      <c r="D2592" t="inlineStr">
        <is>
          <t>VÄSTRA GÖTALANDS LÄN</t>
        </is>
      </c>
      <c r="E2592" t="inlineStr">
        <is>
          <t>TRANEMO</t>
        </is>
      </c>
      <c r="G2592" t="n">
        <v>1.2</v>
      </c>
      <c r="H2592" t="n">
        <v>0</v>
      </c>
      <c r="I2592" t="n">
        <v>0</v>
      </c>
      <c r="J2592" t="n">
        <v>0</v>
      </c>
      <c r="K2592" t="n">
        <v>0</v>
      </c>
      <c r="L2592" t="n">
        <v>0</v>
      </c>
      <c r="M2592" t="n">
        <v>0</v>
      </c>
      <c r="N2592" t="n">
        <v>0</v>
      </c>
      <c r="O2592" t="n">
        <v>0</v>
      </c>
      <c r="P2592" t="n">
        <v>0</v>
      </c>
      <c r="Q2592" t="n">
        <v>0</v>
      </c>
      <c r="R2592" s="2" t="inlineStr"/>
    </row>
    <row r="2593" ht="15" customHeight="1">
      <c r="A2593" t="inlineStr">
        <is>
          <t>A 25772-2019</t>
        </is>
      </c>
      <c r="B2593" s="1" t="n">
        <v>43608</v>
      </c>
      <c r="C2593" s="1" t="n">
        <v>45227</v>
      </c>
      <c r="D2593" t="inlineStr">
        <is>
          <t>VÄSTRA GÖTALANDS LÄN</t>
        </is>
      </c>
      <c r="E2593" t="inlineStr">
        <is>
          <t>FÄRGELANDA</t>
        </is>
      </c>
      <c r="G2593" t="n">
        <v>12.6</v>
      </c>
      <c r="H2593" t="n">
        <v>0</v>
      </c>
      <c r="I2593" t="n">
        <v>0</v>
      </c>
      <c r="J2593" t="n">
        <v>0</v>
      </c>
      <c r="K2593" t="n">
        <v>0</v>
      </c>
      <c r="L2593" t="n">
        <v>0</v>
      </c>
      <c r="M2593" t="n">
        <v>0</v>
      </c>
      <c r="N2593" t="n">
        <v>0</v>
      </c>
      <c r="O2593" t="n">
        <v>0</v>
      </c>
      <c r="P2593" t="n">
        <v>0</v>
      </c>
      <c r="Q2593" t="n">
        <v>0</v>
      </c>
      <c r="R2593" s="2" t="inlineStr"/>
    </row>
    <row r="2594" ht="15" customHeight="1">
      <c r="A2594" t="inlineStr">
        <is>
          <t>A 25836-2019</t>
        </is>
      </c>
      <c r="B2594" s="1" t="n">
        <v>43608</v>
      </c>
      <c r="C2594" s="1" t="n">
        <v>45227</v>
      </c>
      <c r="D2594" t="inlineStr">
        <is>
          <t>VÄSTRA GÖTALANDS LÄN</t>
        </is>
      </c>
      <c r="E2594" t="inlineStr">
        <is>
          <t>TANUM</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25720-2019</t>
        </is>
      </c>
      <c r="B2595" s="1" t="n">
        <v>43608</v>
      </c>
      <c r="C2595" s="1" t="n">
        <v>45227</v>
      </c>
      <c r="D2595" t="inlineStr">
        <is>
          <t>VÄSTRA GÖTALANDS LÄN</t>
        </is>
      </c>
      <c r="E2595" t="inlineStr">
        <is>
          <t>BORÅS</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25728-2019</t>
        </is>
      </c>
      <c r="B2596" s="1" t="n">
        <v>43608</v>
      </c>
      <c r="C2596" s="1" t="n">
        <v>45227</v>
      </c>
      <c r="D2596" t="inlineStr">
        <is>
          <t>VÄSTRA GÖTALANDS LÄN</t>
        </is>
      </c>
      <c r="E2596" t="inlineStr">
        <is>
          <t>ALINGSÅS</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25785-2019</t>
        </is>
      </c>
      <c r="B2597" s="1" t="n">
        <v>43608</v>
      </c>
      <c r="C2597" s="1" t="n">
        <v>45227</v>
      </c>
      <c r="D2597" t="inlineStr">
        <is>
          <t>VÄSTRA GÖTALANDS LÄN</t>
        </is>
      </c>
      <c r="E2597" t="inlineStr">
        <is>
          <t>ULRICEHAMN</t>
        </is>
      </c>
      <c r="G2597" t="n">
        <v>3.8</v>
      </c>
      <c r="H2597" t="n">
        <v>0</v>
      </c>
      <c r="I2597" t="n">
        <v>0</v>
      </c>
      <c r="J2597" t="n">
        <v>0</v>
      </c>
      <c r="K2597" t="n">
        <v>0</v>
      </c>
      <c r="L2597" t="n">
        <v>0</v>
      </c>
      <c r="M2597" t="n">
        <v>0</v>
      </c>
      <c r="N2597" t="n">
        <v>0</v>
      </c>
      <c r="O2597" t="n">
        <v>0</v>
      </c>
      <c r="P2597" t="n">
        <v>0</v>
      </c>
      <c r="Q2597" t="n">
        <v>0</v>
      </c>
      <c r="R2597" s="2" t="inlineStr"/>
    </row>
    <row r="2598" ht="15" customHeight="1">
      <c r="A2598" t="inlineStr">
        <is>
          <t>A 25726-2019</t>
        </is>
      </c>
      <c r="B2598" s="1" t="n">
        <v>43608</v>
      </c>
      <c r="C2598" s="1" t="n">
        <v>45227</v>
      </c>
      <c r="D2598" t="inlineStr">
        <is>
          <t>VÄSTRA GÖTALANDS LÄN</t>
        </is>
      </c>
      <c r="E2598" t="inlineStr">
        <is>
          <t>TRANEMO</t>
        </is>
      </c>
      <c r="G2598" t="n">
        <v>5.2</v>
      </c>
      <c r="H2598" t="n">
        <v>0</v>
      </c>
      <c r="I2598" t="n">
        <v>0</v>
      </c>
      <c r="J2598" t="n">
        <v>0</v>
      </c>
      <c r="K2598" t="n">
        <v>0</v>
      </c>
      <c r="L2598" t="n">
        <v>0</v>
      </c>
      <c r="M2598" t="n">
        <v>0</v>
      </c>
      <c r="N2598" t="n">
        <v>0</v>
      </c>
      <c r="O2598" t="n">
        <v>0</v>
      </c>
      <c r="P2598" t="n">
        <v>0</v>
      </c>
      <c r="Q2598" t="n">
        <v>0</v>
      </c>
      <c r="R2598" s="2" t="inlineStr"/>
    </row>
    <row r="2599" ht="15" customHeight="1">
      <c r="A2599" t="inlineStr">
        <is>
          <t>A 26915-2019</t>
        </is>
      </c>
      <c r="B2599" s="1" t="n">
        <v>43608</v>
      </c>
      <c r="C2599" s="1" t="n">
        <v>45227</v>
      </c>
      <c r="D2599" t="inlineStr">
        <is>
          <t>VÄSTRA GÖTALANDS LÄN</t>
        </is>
      </c>
      <c r="E2599" t="inlineStr">
        <is>
          <t>LIDKÖPING</t>
        </is>
      </c>
      <c r="F2599" t="inlineStr">
        <is>
          <t>Kommuner</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26168-2019</t>
        </is>
      </c>
      <c r="B2600" s="1" t="n">
        <v>43609</v>
      </c>
      <c r="C2600" s="1" t="n">
        <v>45227</v>
      </c>
      <c r="D2600" t="inlineStr">
        <is>
          <t>VÄSTRA GÖTALANDS LÄN</t>
        </is>
      </c>
      <c r="E2600" t="inlineStr">
        <is>
          <t>GÖTENE</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26228-2019</t>
        </is>
      </c>
      <c r="B2601" s="1" t="n">
        <v>43609</v>
      </c>
      <c r="C2601" s="1" t="n">
        <v>45227</v>
      </c>
      <c r="D2601" t="inlineStr">
        <is>
          <t>VÄSTRA GÖTALANDS LÄN</t>
        </is>
      </c>
      <c r="E2601" t="inlineStr">
        <is>
          <t>SVENLJUNGA</t>
        </is>
      </c>
      <c r="G2601" t="n">
        <v>7.1</v>
      </c>
      <c r="H2601" t="n">
        <v>0</v>
      </c>
      <c r="I2601" t="n">
        <v>0</v>
      </c>
      <c r="J2601" t="n">
        <v>0</v>
      </c>
      <c r="K2601" t="n">
        <v>0</v>
      </c>
      <c r="L2601" t="n">
        <v>0</v>
      </c>
      <c r="M2601" t="n">
        <v>0</v>
      </c>
      <c r="N2601" t="n">
        <v>0</v>
      </c>
      <c r="O2601" t="n">
        <v>0</v>
      </c>
      <c r="P2601" t="n">
        <v>0</v>
      </c>
      <c r="Q2601" t="n">
        <v>0</v>
      </c>
      <c r="R2601" s="2" t="inlineStr"/>
    </row>
    <row r="2602" ht="15" customHeight="1">
      <c r="A2602" t="inlineStr">
        <is>
          <t>A 26093-2019</t>
        </is>
      </c>
      <c r="B2602" s="1" t="n">
        <v>43609</v>
      </c>
      <c r="C2602" s="1" t="n">
        <v>45227</v>
      </c>
      <c r="D2602" t="inlineStr">
        <is>
          <t>VÄSTRA GÖTALANDS LÄN</t>
        </is>
      </c>
      <c r="E2602" t="inlineStr">
        <is>
          <t>FÄRGELANDA</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26975-2019</t>
        </is>
      </c>
      <c r="B2603" s="1" t="n">
        <v>43609</v>
      </c>
      <c r="C2603" s="1" t="n">
        <v>45227</v>
      </c>
      <c r="D2603" t="inlineStr">
        <is>
          <t>VÄSTRA GÖTALANDS LÄN</t>
        </is>
      </c>
      <c r="E2603" t="inlineStr">
        <is>
          <t>SVENLJUNGA</t>
        </is>
      </c>
      <c r="F2603" t="inlineStr">
        <is>
          <t>Övriga Aktiebolag</t>
        </is>
      </c>
      <c r="G2603" t="n">
        <v>0.3</v>
      </c>
      <c r="H2603" t="n">
        <v>0</v>
      </c>
      <c r="I2603" t="n">
        <v>0</v>
      </c>
      <c r="J2603" t="n">
        <v>0</v>
      </c>
      <c r="K2603" t="n">
        <v>0</v>
      </c>
      <c r="L2603" t="n">
        <v>0</v>
      </c>
      <c r="M2603" t="n">
        <v>0</v>
      </c>
      <c r="N2603" t="n">
        <v>0</v>
      </c>
      <c r="O2603" t="n">
        <v>0</v>
      </c>
      <c r="P2603" t="n">
        <v>0</v>
      </c>
      <c r="Q2603" t="n">
        <v>0</v>
      </c>
      <c r="R2603" s="2" t="inlineStr"/>
    </row>
    <row r="2604" ht="15" customHeight="1">
      <c r="A2604" t="inlineStr">
        <is>
          <t>A 26118-2019</t>
        </is>
      </c>
      <c r="B2604" s="1" t="n">
        <v>43609</v>
      </c>
      <c r="C2604" s="1" t="n">
        <v>45227</v>
      </c>
      <c r="D2604" t="inlineStr">
        <is>
          <t>VÄSTRA GÖTALANDS LÄN</t>
        </is>
      </c>
      <c r="E2604" t="inlineStr">
        <is>
          <t>FALKÖPING</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26134-2019</t>
        </is>
      </c>
      <c r="B2605" s="1" t="n">
        <v>43609</v>
      </c>
      <c r="C2605" s="1" t="n">
        <v>45227</v>
      </c>
      <c r="D2605" t="inlineStr">
        <is>
          <t>VÄSTRA GÖTALANDS LÄN</t>
        </is>
      </c>
      <c r="E2605" t="inlineStr">
        <is>
          <t>SKÖVDE</t>
        </is>
      </c>
      <c r="F2605" t="inlineStr">
        <is>
          <t>Övriga statliga verk och myndigheter</t>
        </is>
      </c>
      <c r="G2605" t="n">
        <v>18.9</v>
      </c>
      <c r="H2605" t="n">
        <v>0</v>
      </c>
      <c r="I2605" t="n">
        <v>0</v>
      </c>
      <c r="J2605" t="n">
        <v>0</v>
      </c>
      <c r="K2605" t="n">
        <v>0</v>
      </c>
      <c r="L2605" t="n">
        <v>0</v>
      </c>
      <c r="M2605" t="n">
        <v>0</v>
      </c>
      <c r="N2605" t="n">
        <v>0</v>
      </c>
      <c r="O2605" t="n">
        <v>0</v>
      </c>
      <c r="P2605" t="n">
        <v>0</v>
      </c>
      <c r="Q2605" t="n">
        <v>0</v>
      </c>
      <c r="R2605" s="2" t="inlineStr"/>
    </row>
    <row r="2606" ht="15" customHeight="1">
      <c r="A2606" t="inlineStr">
        <is>
          <t>A 26143-2019</t>
        </is>
      </c>
      <c r="B2606" s="1" t="n">
        <v>43609</v>
      </c>
      <c r="C2606" s="1" t="n">
        <v>45227</v>
      </c>
      <c r="D2606" t="inlineStr">
        <is>
          <t>VÄSTRA GÖTALANDS LÄN</t>
        </is>
      </c>
      <c r="E2606" t="inlineStr">
        <is>
          <t>KARLSBORG</t>
        </is>
      </c>
      <c r="F2606" t="inlineStr">
        <is>
          <t>Övriga statliga verk och myndigheter</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26233-2019</t>
        </is>
      </c>
      <c r="B2607" s="1" t="n">
        <v>43609</v>
      </c>
      <c r="C2607" s="1" t="n">
        <v>45227</v>
      </c>
      <c r="D2607" t="inlineStr">
        <is>
          <t>VÄSTRA GÖTALANDS LÄN</t>
        </is>
      </c>
      <c r="E2607" t="inlineStr">
        <is>
          <t>VARA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26257-2019</t>
        </is>
      </c>
      <c r="B2608" s="1" t="n">
        <v>43610</v>
      </c>
      <c r="C2608" s="1" t="n">
        <v>45227</v>
      </c>
      <c r="D2608" t="inlineStr">
        <is>
          <t>VÄSTRA GÖTALANDS LÄN</t>
        </is>
      </c>
      <c r="E2608" t="inlineStr">
        <is>
          <t>HJO</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26262-2019</t>
        </is>
      </c>
      <c r="B2609" s="1" t="n">
        <v>43610</v>
      </c>
      <c r="C2609" s="1" t="n">
        <v>45227</v>
      </c>
      <c r="D2609" t="inlineStr">
        <is>
          <t>VÄSTRA GÖTALANDS LÄN</t>
        </is>
      </c>
      <c r="E2609" t="inlineStr">
        <is>
          <t>DALS-ED</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26329-2019</t>
        </is>
      </c>
      <c r="B2610" s="1" t="n">
        <v>43612</v>
      </c>
      <c r="C2610" s="1" t="n">
        <v>45227</v>
      </c>
      <c r="D2610" t="inlineStr">
        <is>
          <t>VÄSTRA GÖTALANDS LÄN</t>
        </is>
      </c>
      <c r="E2610" t="inlineStr">
        <is>
          <t>MARK</t>
        </is>
      </c>
      <c r="G2610" t="n">
        <v>9.199999999999999</v>
      </c>
      <c r="H2610" t="n">
        <v>0</v>
      </c>
      <c r="I2610" t="n">
        <v>0</v>
      </c>
      <c r="J2610" t="n">
        <v>0</v>
      </c>
      <c r="K2610" t="n">
        <v>0</v>
      </c>
      <c r="L2610" t="n">
        <v>0</v>
      </c>
      <c r="M2610" t="n">
        <v>0</v>
      </c>
      <c r="N2610" t="n">
        <v>0</v>
      </c>
      <c r="O2610" t="n">
        <v>0</v>
      </c>
      <c r="P2610" t="n">
        <v>0</v>
      </c>
      <c r="Q2610" t="n">
        <v>0</v>
      </c>
      <c r="R2610" s="2" t="inlineStr"/>
    </row>
    <row r="2611" ht="15" customHeight="1">
      <c r="A2611" t="inlineStr">
        <is>
          <t>A 26418-2019</t>
        </is>
      </c>
      <c r="B2611" s="1" t="n">
        <v>43612</v>
      </c>
      <c r="C2611" s="1" t="n">
        <v>45227</v>
      </c>
      <c r="D2611" t="inlineStr">
        <is>
          <t>VÄSTRA GÖTALANDS LÄN</t>
        </is>
      </c>
      <c r="E2611" t="inlineStr">
        <is>
          <t>SKARA</t>
        </is>
      </c>
      <c r="F2611" t="inlineStr">
        <is>
          <t>Sveaskog</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26570-2019</t>
        </is>
      </c>
      <c r="B2612" s="1" t="n">
        <v>43612</v>
      </c>
      <c r="C2612" s="1" t="n">
        <v>45227</v>
      </c>
      <c r="D2612" t="inlineStr">
        <is>
          <t>VÄSTRA GÖTALANDS LÄN</t>
        </is>
      </c>
      <c r="E2612" t="inlineStr">
        <is>
          <t>SKARA</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26318-2019</t>
        </is>
      </c>
      <c r="B2613" s="1" t="n">
        <v>43612</v>
      </c>
      <c r="C2613" s="1" t="n">
        <v>45227</v>
      </c>
      <c r="D2613" t="inlineStr">
        <is>
          <t>VÄSTRA GÖTALANDS LÄN</t>
        </is>
      </c>
      <c r="E2613" t="inlineStr">
        <is>
          <t>MARK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26577-2019</t>
        </is>
      </c>
      <c r="B2614" s="1" t="n">
        <v>43612</v>
      </c>
      <c r="C2614" s="1" t="n">
        <v>45227</v>
      </c>
      <c r="D2614" t="inlineStr">
        <is>
          <t>VÄSTRA GÖTALANDS LÄN</t>
        </is>
      </c>
      <c r="E2614" t="inlineStr">
        <is>
          <t>SKARA</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26603-2019</t>
        </is>
      </c>
      <c r="B2615" s="1" t="n">
        <v>43612</v>
      </c>
      <c r="C2615" s="1" t="n">
        <v>45227</v>
      </c>
      <c r="D2615" t="inlineStr">
        <is>
          <t>VÄSTRA GÖTALANDS LÄN</t>
        </is>
      </c>
      <c r="E2615" t="inlineStr">
        <is>
          <t>MARK</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26419-2019</t>
        </is>
      </c>
      <c r="B2616" s="1" t="n">
        <v>43612</v>
      </c>
      <c r="C2616" s="1" t="n">
        <v>45227</v>
      </c>
      <c r="D2616" t="inlineStr">
        <is>
          <t>VÄSTRA GÖTALANDS LÄN</t>
        </is>
      </c>
      <c r="E2616" t="inlineStr">
        <is>
          <t>FALKÖPING</t>
        </is>
      </c>
      <c r="G2616" t="n">
        <v>3.6</v>
      </c>
      <c r="H2616" t="n">
        <v>0</v>
      </c>
      <c r="I2616" t="n">
        <v>0</v>
      </c>
      <c r="J2616" t="n">
        <v>0</v>
      </c>
      <c r="K2616" t="n">
        <v>0</v>
      </c>
      <c r="L2616" t="n">
        <v>0</v>
      </c>
      <c r="M2616" t="n">
        <v>0</v>
      </c>
      <c r="N2616" t="n">
        <v>0</v>
      </c>
      <c r="O2616" t="n">
        <v>0</v>
      </c>
      <c r="P2616" t="n">
        <v>0</v>
      </c>
      <c r="Q2616" t="n">
        <v>0</v>
      </c>
      <c r="R2616" s="2" t="inlineStr"/>
    </row>
    <row r="2617" ht="15" customHeight="1">
      <c r="A2617" t="inlineStr">
        <is>
          <t>A 26599-2019</t>
        </is>
      </c>
      <c r="B2617" s="1" t="n">
        <v>43612</v>
      </c>
      <c r="C2617" s="1" t="n">
        <v>45227</v>
      </c>
      <c r="D2617" t="inlineStr">
        <is>
          <t>VÄSTRA GÖTALANDS LÄN</t>
        </is>
      </c>
      <c r="E2617" t="inlineStr">
        <is>
          <t>SKARA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27897-2019</t>
        </is>
      </c>
      <c r="B2618" s="1" t="n">
        <v>43612</v>
      </c>
      <c r="C2618" s="1" t="n">
        <v>45227</v>
      </c>
      <c r="D2618" t="inlineStr">
        <is>
          <t>VÄSTRA GÖTALANDS LÄN</t>
        </is>
      </c>
      <c r="E2618" t="inlineStr">
        <is>
          <t>TROLLHÄTTAN</t>
        </is>
      </c>
      <c r="G2618" t="n">
        <v>17.6</v>
      </c>
      <c r="H2618" t="n">
        <v>0</v>
      </c>
      <c r="I2618" t="n">
        <v>0</v>
      </c>
      <c r="J2618" t="n">
        <v>0</v>
      </c>
      <c r="K2618" t="n">
        <v>0</v>
      </c>
      <c r="L2618" t="n">
        <v>0</v>
      </c>
      <c r="M2618" t="n">
        <v>0</v>
      </c>
      <c r="N2618" t="n">
        <v>0</v>
      </c>
      <c r="O2618" t="n">
        <v>0</v>
      </c>
      <c r="P2618" t="n">
        <v>0</v>
      </c>
      <c r="Q2618" t="n">
        <v>0</v>
      </c>
      <c r="R2618" s="2" t="inlineStr"/>
    </row>
    <row r="2619" ht="15" customHeight="1">
      <c r="A2619" t="inlineStr">
        <is>
          <t>A 26473-2019</t>
        </is>
      </c>
      <c r="B2619" s="1" t="n">
        <v>43612</v>
      </c>
      <c r="C2619" s="1" t="n">
        <v>45227</v>
      </c>
      <c r="D2619" t="inlineStr">
        <is>
          <t>VÄSTRA GÖTALANDS LÄN</t>
        </is>
      </c>
      <c r="E2619" t="inlineStr">
        <is>
          <t>MELLERUD</t>
        </is>
      </c>
      <c r="G2619" t="n">
        <v>3.9</v>
      </c>
      <c r="H2619" t="n">
        <v>0</v>
      </c>
      <c r="I2619" t="n">
        <v>0</v>
      </c>
      <c r="J2619" t="n">
        <v>0</v>
      </c>
      <c r="K2619" t="n">
        <v>0</v>
      </c>
      <c r="L2619" t="n">
        <v>0</v>
      </c>
      <c r="M2619" t="n">
        <v>0</v>
      </c>
      <c r="N2619" t="n">
        <v>0</v>
      </c>
      <c r="O2619" t="n">
        <v>0</v>
      </c>
      <c r="P2619" t="n">
        <v>0</v>
      </c>
      <c r="Q2619" t="n">
        <v>0</v>
      </c>
      <c r="R2619" s="2" t="inlineStr"/>
    </row>
    <row r="2620" ht="15" customHeight="1">
      <c r="A2620" t="inlineStr">
        <is>
          <t>A 26537-2019</t>
        </is>
      </c>
      <c r="B2620" s="1" t="n">
        <v>43612</v>
      </c>
      <c r="C2620" s="1" t="n">
        <v>45227</v>
      </c>
      <c r="D2620" t="inlineStr">
        <is>
          <t>VÄSTRA GÖTALANDS LÄN</t>
        </is>
      </c>
      <c r="E2620" t="inlineStr">
        <is>
          <t>TANUM</t>
        </is>
      </c>
      <c r="G2620" t="n">
        <v>3</v>
      </c>
      <c r="H2620" t="n">
        <v>0</v>
      </c>
      <c r="I2620" t="n">
        <v>0</v>
      </c>
      <c r="J2620" t="n">
        <v>0</v>
      </c>
      <c r="K2620" t="n">
        <v>0</v>
      </c>
      <c r="L2620" t="n">
        <v>0</v>
      </c>
      <c r="M2620" t="n">
        <v>0</v>
      </c>
      <c r="N2620" t="n">
        <v>0</v>
      </c>
      <c r="O2620" t="n">
        <v>0</v>
      </c>
      <c r="P2620" t="n">
        <v>0</v>
      </c>
      <c r="Q2620" t="n">
        <v>0</v>
      </c>
      <c r="R2620" s="2" t="inlineStr"/>
    </row>
    <row r="2621" ht="15" customHeight="1">
      <c r="A2621" t="inlineStr">
        <is>
          <t>A 27112-2019</t>
        </is>
      </c>
      <c r="B2621" s="1" t="n">
        <v>43612</v>
      </c>
      <c r="C2621" s="1" t="n">
        <v>45227</v>
      </c>
      <c r="D2621" t="inlineStr">
        <is>
          <t>VÄSTRA GÖTALANDS LÄN</t>
        </is>
      </c>
      <c r="E2621" t="inlineStr">
        <is>
          <t>DALS-ED</t>
        </is>
      </c>
      <c r="G2621" t="n">
        <v>11.5</v>
      </c>
      <c r="H2621" t="n">
        <v>0</v>
      </c>
      <c r="I2621" t="n">
        <v>0</v>
      </c>
      <c r="J2621" t="n">
        <v>0</v>
      </c>
      <c r="K2621" t="n">
        <v>0</v>
      </c>
      <c r="L2621" t="n">
        <v>0</v>
      </c>
      <c r="M2621" t="n">
        <v>0</v>
      </c>
      <c r="N2621" t="n">
        <v>0</v>
      </c>
      <c r="O2621" t="n">
        <v>0</v>
      </c>
      <c r="P2621" t="n">
        <v>0</v>
      </c>
      <c r="Q2621" t="n">
        <v>0</v>
      </c>
      <c r="R2621" s="2" t="inlineStr"/>
    </row>
    <row r="2622" ht="15" customHeight="1">
      <c r="A2622" t="inlineStr">
        <is>
          <t>A 26801-2019</t>
        </is>
      </c>
      <c r="B2622" s="1" t="n">
        <v>43613</v>
      </c>
      <c r="C2622" s="1" t="n">
        <v>45227</v>
      </c>
      <c r="D2622" t="inlineStr">
        <is>
          <t>VÄSTRA GÖTALANDS LÄN</t>
        </is>
      </c>
      <c r="E2622" t="inlineStr">
        <is>
          <t>MARIESTAD</t>
        </is>
      </c>
      <c r="G2622" t="n">
        <v>12.1</v>
      </c>
      <c r="H2622" t="n">
        <v>0</v>
      </c>
      <c r="I2622" t="n">
        <v>0</v>
      </c>
      <c r="J2622" t="n">
        <v>0</v>
      </c>
      <c r="K2622" t="n">
        <v>0</v>
      </c>
      <c r="L2622" t="n">
        <v>0</v>
      </c>
      <c r="M2622" t="n">
        <v>0</v>
      </c>
      <c r="N2622" t="n">
        <v>0</v>
      </c>
      <c r="O2622" t="n">
        <v>0</v>
      </c>
      <c r="P2622" t="n">
        <v>0</v>
      </c>
      <c r="Q2622" t="n">
        <v>0</v>
      </c>
      <c r="R2622" s="2" t="inlineStr"/>
    </row>
    <row r="2623" ht="15" customHeight="1">
      <c r="A2623" t="inlineStr">
        <is>
          <t>A 26881-2019</t>
        </is>
      </c>
      <c r="B2623" s="1" t="n">
        <v>43613</v>
      </c>
      <c r="C2623" s="1" t="n">
        <v>45227</v>
      </c>
      <c r="D2623" t="inlineStr">
        <is>
          <t>VÄSTRA GÖTALANDS LÄN</t>
        </is>
      </c>
      <c r="E2623" t="inlineStr">
        <is>
          <t>LILLA EDET</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26728-2019</t>
        </is>
      </c>
      <c r="B2624" s="1" t="n">
        <v>43613</v>
      </c>
      <c r="C2624" s="1" t="n">
        <v>45227</v>
      </c>
      <c r="D2624" t="inlineStr">
        <is>
          <t>VÄSTRA GÖTALANDS LÄN</t>
        </is>
      </c>
      <c r="E2624" t="inlineStr">
        <is>
          <t>TANUM</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26799-2019</t>
        </is>
      </c>
      <c r="B2625" s="1" t="n">
        <v>43613</v>
      </c>
      <c r="C2625" s="1" t="n">
        <v>45227</v>
      </c>
      <c r="D2625" t="inlineStr">
        <is>
          <t>VÄSTRA GÖTALANDS LÄN</t>
        </is>
      </c>
      <c r="E2625" t="inlineStr">
        <is>
          <t>MARIESTAD</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26804-2019</t>
        </is>
      </c>
      <c r="B2626" s="1" t="n">
        <v>43613</v>
      </c>
      <c r="C2626" s="1" t="n">
        <v>45227</v>
      </c>
      <c r="D2626" t="inlineStr">
        <is>
          <t>VÄSTRA GÖTALANDS LÄN</t>
        </is>
      </c>
      <c r="E2626" t="inlineStr">
        <is>
          <t>BENGTSFORS</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26932-2019</t>
        </is>
      </c>
      <c r="B2627" s="1" t="n">
        <v>43613</v>
      </c>
      <c r="C2627" s="1" t="n">
        <v>45227</v>
      </c>
      <c r="D2627" t="inlineStr">
        <is>
          <t>VÄSTRA GÖTALANDS LÄN</t>
        </is>
      </c>
      <c r="E2627" t="inlineStr">
        <is>
          <t>VARA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27019-2019</t>
        </is>
      </c>
      <c r="B2628" s="1" t="n">
        <v>43613</v>
      </c>
      <c r="C2628" s="1" t="n">
        <v>45227</v>
      </c>
      <c r="D2628" t="inlineStr">
        <is>
          <t>VÄSTRA GÖTALANDS LÄN</t>
        </is>
      </c>
      <c r="E2628" t="inlineStr">
        <is>
          <t>BENGTSFORS</t>
        </is>
      </c>
      <c r="G2628" t="n">
        <v>10.5</v>
      </c>
      <c r="H2628" t="n">
        <v>0</v>
      </c>
      <c r="I2628" t="n">
        <v>0</v>
      </c>
      <c r="J2628" t="n">
        <v>0</v>
      </c>
      <c r="K2628" t="n">
        <v>0</v>
      </c>
      <c r="L2628" t="n">
        <v>0</v>
      </c>
      <c r="M2628" t="n">
        <v>0</v>
      </c>
      <c r="N2628" t="n">
        <v>0</v>
      </c>
      <c r="O2628" t="n">
        <v>0</v>
      </c>
      <c r="P2628" t="n">
        <v>0</v>
      </c>
      <c r="Q2628" t="n">
        <v>0</v>
      </c>
      <c r="R2628" s="2" t="inlineStr"/>
    </row>
    <row r="2629" ht="15" customHeight="1">
      <c r="A2629" t="inlineStr">
        <is>
          <t>A 26659-2019</t>
        </is>
      </c>
      <c r="B2629" s="1" t="n">
        <v>43613</v>
      </c>
      <c r="C2629" s="1" t="n">
        <v>45227</v>
      </c>
      <c r="D2629" t="inlineStr">
        <is>
          <t>VÄSTRA GÖTALANDS LÄN</t>
        </is>
      </c>
      <c r="E2629" t="inlineStr">
        <is>
          <t>FÄRGELANDA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26803-2019</t>
        </is>
      </c>
      <c r="B2630" s="1" t="n">
        <v>43613</v>
      </c>
      <c r="C2630" s="1" t="n">
        <v>45227</v>
      </c>
      <c r="D2630" t="inlineStr">
        <is>
          <t>VÄSTRA GÖTALANDS LÄN</t>
        </is>
      </c>
      <c r="E2630" t="inlineStr">
        <is>
          <t>MARIESTAD</t>
        </is>
      </c>
      <c r="G2630" t="n">
        <v>3.8</v>
      </c>
      <c r="H2630" t="n">
        <v>0</v>
      </c>
      <c r="I2630" t="n">
        <v>0</v>
      </c>
      <c r="J2630" t="n">
        <v>0</v>
      </c>
      <c r="K2630" t="n">
        <v>0</v>
      </c>
      <c r="L2630" t="n">
        <v>0</v>
      </c>
      <c r="M2630" t="n">
        <v>0</v>
      </c>
      <c r="N2630" t="n">
        <v>0</v>
      </c>
      <c r="O2630" t="n">
        <v>0</v>
      </c>
      <c r="P2630" t="n">
        <v>0</v>
      </c>
      <c r="Q2630" t="n">
        <v>0</v>
      </c>
      <c r="R2630" s="2" t="inlineStr"/>
    </row>
    <row r="2631" ht="15" customHeight="1">
      <c r="A2631" t="inlineStr">
        <is>
          <t>A 26684-2019</t>
        </is>
      </c>
      <c r="B2631" s="1" t="n">
        <v>43613</v>
      </c>
      <c r="C2631" s="1" t="n">
        <v>45227</v>
      </c>
      <c r="D2631" t="inlineStr">
        <is>
          <t>VÄSTRA GÖTALANDS LÄN</t>
        </is>
      </c>
      <c r="E2631" t="inlineStr">
        <is>
          <t>VARA</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26740-2019</t>
        </is>
      </c>
      <c r="B2632" s="1" t="n">
        <v>43613</v>
      </c>
      <c r="C2632" s="1" t="n">
        <v>45227</v>
      </c>
      <c r="D2632" t="inlineStr">
        <is>
          <t>VÄSTRA GÖTALANDS LÄN</t>
        </is>
      </c>
      <c r="E2632" t="inlineStr">
        <is>
          <t>FÄRGELANDA</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26839-2019</t>
        </is>
      </c>
      <c r="B2633" s="1" t="n">
        <v>43613</v>
      </c>
      <c r="C2633" s="1" t="n">
        <v>45227</v>
      </c>
      <c r="D2633" t="inlineStr">
        <is>
          <t>VÄSTRA GÖTALANDS LÄN</t>
        </is>
      </c>
      <c r="E2633" t="inlineStr">
        <is>
          <t>GULLSPÅNG</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28033-2019</t>
        </is>
      </c>
      <c r="B2634" s="1" t="n">
        <v>43613</v>
      </c>
      <c r="C2634" s="1" t="n">
        <v>45227</v>
      </c>
      <c r="D2634" t="inlineStr">
        <is>
          <t>VÄSTRA GÖTALANDS LÄN</t>
        </is>
      </c>
      <c r="E2634" t="inlineStr">
        <is>
          <t>KARLSBORG</t>
        </is>
      </c>
      <c r="G2634" t="n">
        <v>4</v>
      </c>
      <c r="H2634" t="n">
        <v>0</v>
      </c>
      <c r="I2634" t="n">
        <v>0</v>
      </c>
      <c r="J2634" t="n">
        <v>0</v>
      </c>
      <c r="K2634" t="n">
        <v>0</v>
      </c>
      <c r="L2634" t="n">
        <v>0</v>
      </c>
      <c r="M2634" t="n">
        <v>0</v>
      </c>
      <c r="N2634" t="n">
        <v>0</v>
      </c>
      <c r="O2634" t="n">
        <v>0</v>
      </c>
      <c r="P2634" t="n">
        <v>0</v>
      </c>
      <c r="Q2634" t="n">
        <v>0</v>
      </c>
      <c r="R2634" s="2" t="inlineStr"/>
    </row>
    <row r="2635" ht="15" customHeight="1">
      <c r="A2635" t="inlineStr">
        <is>
          <t>A 28158-2019</t>
        </is>
      </c>
      <c r="B2635" s="1" t="n">
        <v>43613</v>
      </c>
      <c r="C2635" s="1" t="n">
        <v>45227</v>
      </c>
      <c r="D2635" t="inlineStr">
        <is>
          <t>VÄSTRA GÖTALANDS LÄN</t>
        </is>
      </c>
      <c r="E2635" t="inlineStr">
        <is>
          <t>STRÖMSTAD</t>
        </is>
      </c>
      <c r="G2635" t="n">
        <v>5.8</v>
      </c>
      <c r="H2635" t="n">
        <v>0</v>
      </c>
      <c r="I2635" t="n">
        <v>0</v>
      </c>
      <c r="J2635" t="n">
        <v>0</v>
      </c>
      <c r="K2635" t="n">
        <v>0</v>
      </c>
      <c r="L2635" t="n">
        <v>0</v>
      </c>
      <c r="M2635" t="n">
        <v>0</v>
      </c>
      <c r="N2635" t="n">
        <v>0</v>
      </c>
      <c r="O2635" t="n">
        <v>0</v>
      </c>
      <c r="P2635" t="n">
        <v>0</v>
      </c>
      <c r="Q2635" t="n">
        <v>0</v>
      </c>
      <c r="R2635" s="2" t="inlineStr"/>
    </row>
    <row r="2636" ht="15" customHeight="1">
      <c r="A2636" t="inlineStr">
        <is>
          <t>A 27148-2019</t>
        </is>
      </c>
      <c r="B2636" s="1" t="n">
        <v>43614</v>
      </c>
      <c r="C2636" s="1" t="n">
        <v>45227</v>
      </c>
      <c r="D2636" t="inlineStr">
        <is>
          <t>VÄSTRA GÖTALANDS LÄN</t>
        </is>
      </c>
      <c r="E2636" t="inlineStr">
        <is>
          <t>LIDKÖPING</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27175-2019</t>
        </is>
      </c>
      <c r="B2637" s="1" t="n">
        <v>43614</v>
      </c>
      <c r="C2637" s="1" t="n">
        <v>45227</v>
      </c>
      <c r="D2637" t="inlineStr">
        <is>
          <t>VÄSTRA GÖTALANDS LÄN</t>
        </is>
      </c>
      <c r="E2637" t="inlineStr">
        <is>
          <t>GÖTENE</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27100-2019</t>
        </is>
      </c>
      <c r="B2638" s="1" t="n">
        <v>43614</v>
      </c>
      <c r="C2638" s="1" t="n">
        <v>45227</v>
      </c>
      <c r="D2638" t="inlineStr">
        <is>
          <t>VÄSTRA GÖTALANDS LÄN</t>
        </is>
      </c>
      <c r="E2638" t="inlineStr">
        <is>
          <t>TANUM</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27153-2019</t>
        </is>
      </c>
      <c r="B2639" s="1" t="n">
        <v>43614</v>
      </c>
      <c r="C2639" s="1" t="n">
        <v>45227</v>
      </c>
      <c r="D2639" t="inlineStr">
        <is>
          <t>VÄSTRA GÖTALANDS LÄN</t>
        </is>
      </c>
      <c r="E2639" t="inlineStr">
        <is>
          <t>BENGTSFORS</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27024-2019</t>
        </is>
      </c>
      <c r="B2640" s="1" t="n">
        <v>43614</v>
      </c>
      <c r="C2640" s="1" t="n">
        <v>45227</v>
      </c>
      <c r="D2640" t="inlineStr">
        <is>
          <t>VÄSTRA GÖTALANDS LÄN</t>
        </is>
      </c>
      <c r="E2640" t="inlineStr">
        <is>
          <t>MELLERUD</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28644-2019</t>
        </is>
      </c>
      <c r="B2641" s="1" t="n">
        <v>43614</v>
      </c>
      <c r="C2641" s="1" t="n">
        <v>45227</v>
      </c>
      <c r="D2641" t="inlineStr">
        <is>
          <t>VÄSTRA GÖTALANDS LÄN</t>
        </is>
      </c>
      <c r="E2641" t="inlineStr">
        <is>
          <t>FALKÖPING</t>
        </is>
      </c>
      <c r="G2641" t="n">
        <v>4.7</v>
      </c>
      <c r="H2641" t="n">
        <v>0</v>
      </c>
      <c r="I2641" t="n">
        <v>0</v>
      </c>
      <c r="J2641" t="n">
        <v>0</v>
      </c>
      <c r="K2641" t="n">
        <v>0</v>
      </c>
      <c r="L2641" t="n">
        <v>0</v>
      </c>
      <c r="M2641" t="n">
        <v>0</v>
      </c>
      <c r="N2641" t="n">
        <v>0</v>
      </c>
      <c r="O2641" t="n">
        <v>0</v>
      </c>
      <c r="P2641" t="n">
        <v>0</v>
      </c>
      <c r="Q2641" t="n">
        <v>0</v>
      </c>
      <c r="R2641" s="2" t="inlineStr"/>
    </row>
    <row r="2642" ht="15" customHeight="1">
      <c r="A2642" t="inlineStr">
        <is>
          <t>A 27053-2019</t>
        </is>
      </c>
      <c r="B2642" s="1" t="n">
        <v>43614</v>
      </c>
      <c r="C2642" s="1" t="n">
        <v>45227</v>
      </c>
      <c r="D2642" t="inlineStr">
        <is>
          <t>VÄSTRA GÖTALANDS LÄN</t>
        </is>
      </c>
      <c r="E2642" t="inlineStr">
        <is>
          <t>LIDKÖPING</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27097-2019</t>
        </is>
      </c>
      <c r="B2643" s="1" t="n">
        <v>43614</v>
      </c>
      <c r="C2643" s="1" t="n">
        <v>45227</v>
      </c>
      <c r="D2643" t="inlineStr">
        <is>
          <t>VÄSTRA GÖTALANDS LÄN</t>
        </is>
      </c>
      <c r="E2643" t="inlineStr">
        <is>
          <t>TIDAHOLM</t>
        </is>
      </c>
      <c r="F2643" t="inlineStr">
        <is>
          <t>Sveaskog</t>
        </is>
      </c>
      <c r="G2643" t="n">
        <v>2.9</v>
      </c>
      <c r="H2643" t="n">
        <v>0</v>
      </c>
      <c r="I2643" t="n">
        <v>0</v>
      </c>
      <c r="J2643" t="n">
        <v>0</v>
      </c>
      <c r="K2643" t="n">
        <v>0</v>
      </c>
      <c r="L2643" t="n">
        <v>0</v>
      </c>
      <c r="M2643" t="n">
        <v>0</v>
      </c>
      <c r="N2643" t="n">
        <v>0</v>
      </c>
      <c r="O2643" t="n">
        <v>0</v>
      </c>
      <c r="P2643" t="n">
        <v>0</v>
      </c>
      <c r="Q2643" t="n">
        <v>0</v>
      </c>
      <c r="R2643" s="2" t="inlineStr"/>
    </row>
    <row r="2644" ht="15" customHeight="1">
      <c r="A2644" t="inlineStr">
        <is>
          <t>A 27173-2019</t>
        </is>
      </c>
      <c r="B2644" s="1" t="n">
        <v>43614</v>
      </c>
      <c r="C2644" s="1" t="n">
        <v>45227</v>
      </c>
      <c r="D2644" t="inlineStr">
        <is>
          <t>VÄSTRA GÖTALANDS LÄN</t>
        </is>
      </c>
      <c r="E2644" t="inlineStr">
        <is>
          <t>TÖREBODA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27177-2019</t>
        </is>
      </c>
      <c r="B2645" s="1" t="n">
        <v>43614</v>
      </c>
      <c r="C2645" s="1" t="n">
        <v>45227</v>
      </c>
      <c r="D2645" t="inlineStr">
        <is>
          <t>VÄSTRA GÖTALANDS LÄN</t>
        </is>
      </c>
      <c r="E2645" t="inlineStr">
        <is>
          <t>TÖREBODA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27485-2019</t>
        </is>
      </c>
      <c r="B2646" s="1" t="n">
        <v>43614</v>
      </c>
      <c r="C2646" s="1" t="n">
        <v>45227</v>
      </c>
      <c r="D2646" t="inlineStr">
        <is>
          <t>VÄSTRA GÖTALANDS LÄN</t>
        </is>
      </c>
      <c r="E2646" t="inlineStr">
        <is>
          <t>GULLSPÅNG</t>
        </is>
      </c>
      <c r="G2646" t="n">
        <v>7.7</v>
      </c>
      <c r="H2646" t="n">
        <v>0</v>
      </c>
      <c r="I2646" t="n">
        <v>0</v>
      </c>
      <c r="J2646" t="n">
        <v>0</v>
      </c>
      <c r="K2646" t="n">
        <v>0</v>
      </c>
      <c r="L2646" t="n">
        <v>0</v>
      </c>
      <c r="M2646" t="n">
        <v>0</v>
      </c>
      <c r="N2646" t="n">
        <v>0</v>
      </c>
      <c r="O2646" t="n">
        <v>0</v>
      </c>
      <c r="P2646" t="n">
        <v>0</v>
      </c>
      <c r="Q2646" t="n">
        <v>0</v>
      </c>
      <c r="R2646" s="2" t="inlineStr"/>
    </row>
    <row r="2647" ht="15" customHeight="1">
      <c r="A2647" t="inlineStr">
        <is>
          <t>A 27309-2019</t>
        </is>
      </c>
      <c r="B2647" s="1" t="n">
        <v>43616</v>
      </c>
      <c r="C2647" s="1" t="n">
        <v>45227</v>
      </c>
      <c r="D2647" t="inlineStr">
        <is>
          <t>VÄSTRA GÖTALANDS LÄN</t>
        </is>
      </c>
      <c r="E2647" t="inlineStr">
        <is>
          <t>VÅRGÅRDA</t>
        </is>
      </c>
      <c r="F2647" t="inlineStr">
        <is>
          <t>Kommuner</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27358-2019</t>
        </is>
      </c>
      <c r="B2648" s="1" t="n">
        <v>43616</v>
      </c>
      <c r="C2648" s="1" t="n">
        <v>45227</v>
      </c>
      <c r="D2648" t="inlineStr">
        <is>
          <t>VÄSTRA GÖTALANDS LÄN</t>
        </is>
      </c>
      <c r="E2648" t="inlineStr">
        <is>
          <t>TRANEMO</t>
        </is>
      </c>
      <c r="F2648" t="inlineStr">
        <is>
          <t>Sveaskog</t>
        </is>
      </c>
      <c r="G2648" t="n">
        <v>0.6</v>
      </c>
      <c r="H2648" t="n">
        <v>0</v>
      </c>
      <c r="I2648" t="n">
        <v>0</v>
      </c>
      <c r="J2648" t="n">
        <v>0</v>
      </c>
      <c r="K2648" t="n">
        <v>0</v>
      </c>
      <c r="L2648" t="n">
        <v>0</v>
      </c>
      <c r="M2648" t="n">
        <v>0</v>
      </c>
      <c r="N2648" t="n">
        <v>0</v>
      </c>
      <c r="O2648" t="n">
        <v>0</v>
      </c>
      <c r="P2648" t="n">
        <v>0</v>
      </c>
      <c r="Q2648" t="n">
        <v>0</v>
      </c>
      <c r="R2648" s="2" t="inlineStr"/>
    </row>
    <row r="2649" ht="15" customHeight="1">
      <c r="A2649" t="inlineStr">
        <is>
          <t>A 27286-2019</t>
        </is>
      </c>
      <c r="B2649" s="1" t="n">
        <v>43616</v>
      </c>
      <c r="C2649" s="1" t="n">
        <v>45227</v>
      </c>
      <c r="D2649" t="inlineStr">
        <is>
          <t>VÄSTRA GÖTALANDS LÄN</t>
        </is>
      </c>
      <c r="E2649" t="inlineStr">
        <is>
          <t>UDDEVALLA</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27299-2019</t>
        </is>
      </c>
      <c r="B2650" s="1" t="n">
        <v>43616</v>
      </c>
      <c r="C2650" s="1" t="n">
        <v>45227</v>
      </c>
      <c r="D2650" t="inlineStr">
        <is>
          <t>VÄSTRA GÖTALANDS LÄN</t>
        </is>
      </c>
      <c r="E2650" t="inlineStr">
        <is>
          <t>HERRLJUNGA</t>
        </is>
      </c>
      <c r="G2650" t="n">
        <v>4.1</v>
      </c>
      <c r="H2650" t="n">
        <v>0</v>
      </c>
      <c r="I2650" t="n">
        <v>0</v>
      </c>
      <c r="J2650" t="n">
        <v>0</v>
      </c>
      <c r="K2650" t="n">
        <v>0</v>
      </c>
      <c r="L2650" t="n">
        <v>0</v>
      </c>
      <c r="M2650" t="n">
        <v>0</v>
      </c>
      <c r="N2650" t="n">
        <v>0</v>
      </c>
      <c r="O2650" t="n">
        <v>0</v>
      </c>
      <c r="P2650" t="n">
        <v>0</v>
      </c>
      <c r="Q2650" t="n">
        <v>0</v>
      </c>
      <c r="R2650" s="2" t="inlineStr"/>
    </row>
    <row r="2651" ht="15" customHeight="1">
      <c r="A2651" t="inlineStr">
        <is>
          <t>A 27359-2019</t>
        </is>
      </c>
      <c r="B2651" s="1" t="n">
        <v>43616</v>
      </c>
      <c r="C2651" s="1" t="n">
        <v>45227</v>
      </c>
      <c r="D2651" t="inlineStr">
        <is>
          <t>VÄSTRA GÖTALANDS LÄN</t>
        </is>
      </c>
      <c r="E2651" t="inlineStr">
        <is>
          <t>TRANEMO</t>
        </is>
      </c>
      <c r="F2651" t="inlineStr">
        <is>
          <t>Sveaskog</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28748-2019</t>
        </is>
      </c>
      <c r="B2652" s="1" t="n">
        <v>43616</v>
      </c>
      <c r="C2652" s="1" t="n">
        <v>45227</v>
      </c>
      <c r="D2652" t="inlineStr">
        <is>
          <t>VÄSTRA GÖTALANDS LÄN</t>
        </is>
      </c>
      <c r="E2652" t="inlineStr">
        <is>
          <t>GULLSPÅNG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27291-2019</t>
        </is>
      </c>
      <c r="B2653" s="1" t="n">
        <v>43616</v>
      </c>
      <c r="C2653" s="1" t="n">
        <v>45227</v>
      </c>
      <c r="D2653" t="inlineStr">
        <is>
          <t>VÄSTRA GÖTALANDS LÄN</t>
        </is>
      </c>
      <c r="E2653" t="inlineStr">
        <is>
          <t>ÅMÅL</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27360-2019</t>
        </is>
      </c>
      <c r="B2654" s="1" t="n">
        <v>43616</v>
      </c>
      <c r="C2654" s="1" t="n">
        <v>45227</v>
      </c>
      <c r="D2654" t="inlineStr">
        <is>
          <t>VÄSTRA GÖTALANDS LÄN</t>
        </is>
      </c>
      <c r="E2654" t="inlineStr">
        <is>
          <t>FÄRGELANDA</t>
        </is>
      </c>
      <c r="G2654" t="n">
        <v>5.1</v>
      </c>
      <c r="H2654" t="n">
        <v>0</v>
      </c>
      <c r="I2654" t="n">
        <v>0</v>
      </c>
      <c r="J2654" t="n">
        <v>0</v>
      </c>
      <c r="K2654" t="n">
        <v>0</v>
      </c>
      <c r="L2654" t="n">
        <v>0</v>
      </c>
      <c r="M2654" t="n">
        <v>0</v>
      </c>
      <c r="N2654" t="n">
        <v>0</v>
      </c>
      <c r="O2654" t="n">
        <v>0</v>
      </c>
      <c r="P2654" t="n">
        <v>0</v>
      </c>
      <c r="Q2654" t="n">
        <v>0</v>
      </c>
      <c r="R2654" s="2" t="inlineStr"/>
    </row>
    <row r="2655" ht="15" customHeight="1">
      <c r="A2655" t="inlineStr">
        <is>
          <t>A 27454-2019</t>
        </is>
      </c>
      <c r="B2655" s="1" t="n">
        <v>43618</v>
      </c>
      <c r="C2655" s="1" t="n">
        <v>45227</v>
      </c>
      <c r="D2655" t="inlineStr">
        <is>
          <t>VÄSTRA GÖTALANDS LÄN</t>
        </is>
      </c>
      <c r="E2655" t="inlineStr">
        <is>
          <t>FÄRGELANDA</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27465-2019</t>
        </is>
      </c>
      <c r="B2656" s="1" t="n">
        <v>43618</v>
      </c>
      <c r="C2656" s="1" t="n">
        <v>45227</v>
      </c>
      <c r="D2656" t="inlineStr">
        <is>
          <t>VÄSTRA GÖTALANDS LÄN</t>
        </is>
      </c>
      <c r="E2656" t="inlineStr">
        <is>
          <t>BENGTSFORS</t>
        </is>
      </c>
      <c r="G2656" t="n">
        <v>1.9</v>
      </c>
      <c r="H2656" t="n">
        <v>0</v>
      </c>
      <c r="I2656" t="n">
        <v>0</v>
      </c>
      <c r="J2656" t="n">
        <v>0</v>
      </c>
      <c r="K2656" t="n">
        <v>0</v>
      </c>
      <c r="L2656" t="n">
        <v>0</v>
      </c>
      <c r="M2656" t="n">
        <v>0</v>
      </c>
      <c r="N2656" t="n">
        <v>0</v>
      </c>
      <c r="O2656" t="n">
        <v>0</v>
      </c>
      <c r="P2656" t="n">
        <v>0</v>
      </c>
      <c r="Q2656" t="n">
        <v>0</v>
      </c>
      <c r="R2656" s="2" t="inlineStr"/>
    </row>
    <row r="2657" ht="15" customHeight="1">
      <c r="A2657" t="inlineStr">
        <is>
          <t>A 27463-2019</t>
        </is>
      </c>
      <c r="B2657" s="1" t="n">
        <v>43618</v>
      </c>
      <c r="C2657" s="1" t="n">
        <v>45227</v>
      </c>
      <c r="D2657" t="inlineStr">
        <is>
          <t>VÄSTRA GÖTALANDS LÄN</t>
        </is>
      </c>
      <c r="E2657" t="inlineStr">
        <is>
          <t>BENGTSFORS</t>
        </is>
      </c>
      <c r="G2657" t="n">
        <v>2.5</v>
      </c>
      <c r="H2657" t="n">
        <v>0</v>
      </c>
      <c r="I2657" t="n">
        <v>0</v>
      </c>
      <c r="J2657" t="n">
        <v>0</v>
      </c>
      <c r="K2657" t="n">
        <v>0</v>
      </c>
      <c r="L2657" t="n">
        <v>0</v>
      </c>
      <c r="M2657" t="n">
        <v>0</v>
      </c>
      <c r="N2657" t="n">
        <v>0</v>
      </c>
      <c r="O2657" t="n">
        <v>0</v>
      </c>
      <c r="P2657" t="n">
        <v>0</v>
      </c>
      <c r="Q2657" t="n">
        <v>0</v>
      </c>
      <c r="R2657" s="2" t="inlineStr"/>
    </row>
    <row r="2658" ht="15" customHeight="1">
      <c r="A2658" t="inlineStr">
        <is>
          <t>A 27543-2019</t>
        </is>
      </c>
      <c r="B2658" s="1" t="n">
        <v>43619</v>
      </c>
      <c r="C2658" s="1" t="n">
        <v>45227</v>
      </c>
      <c r="D2658" t="inlineStr">
        <is>
          <t>VÄSTRA GÖTALANDS LÄN</t>
        </is>
      </c>
      <c r="E2658" t="inlineStr">
        <is>
          <t>FALKÖPING</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27648-2019</t>
        </is>
      </c>
      <c r="B2659" s="1" t="n">
        <v>43619</v>
      </c>
      <c r="C2659" s="1" t="n">
        <v>45227</v>
      </c>
      <c r="D2659" t="inlineStr">
        <is>
          <t>VÄSTRA GÖTALANDS LÄN</t>
        </is>
      </c>
      <c r="E2659" t="inlineStr">
        <is>
          <t>SKARA</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28915-2019</t>
        </is>
      </c>
      <c r="B2660" s="1" t="n">
        <v>43619</v>
      </c>
      <c r="C2660" s="1" t="n">
        <v>45227</v>
      </c>
      <c r="D2660" t="inlineStr">
        <is>
          <t>VÄSTRA GÖTALANDS LÄN</t>
        </is>
      </c>
      <c r="E2660" t="inlineStr">
        <is>
          <t>TIDAHOLM</t>
        </is>
      </c>
      <c r="G2660" t="n">
        <v>5.5</v>
      </c>
      <c r="H2660" t="n">
        <v>0</v>
      </c>
      <c r="I2660" t="n">
        <v>0</v>
      </c>
      <c r="J2660" t="n">
        <v>0</v>
      </c>
      <c r="K2660" t="n">
        <v>0</v>
      </c>
      <c r="L2660" t="n">
        <v>0</v>
      </c>
      <c r="M2660" t="n">
        <v>0</v>
      </c>
      <c r="N2660" t="n">
        <v>0</v>
      </c>
      <c r="O2660" t="n">
        <v>0</v>
      </c>
      <c r="P2660" t="n">
        <v>0</v>
      </c>
      <c r="Q2660" t="n">
        <v>0</v>
      </c>
      <c r="R2660" s="2" t="inlineStr"/>
    </row>
    <row r="2661" ht="15" customHeight="1">
      <c r="A2661" t="inlineStr">
        <is>
          <t>A 27520-2019</t>
        </is>
      </c>
      <c r="B2661" s="1" t="n">
        <v>43619</v>
      </c>
      <c r="C2661" s="1" t="n">
        <v>45227</v>
      </c>
      <c r="D2661" t="inlineStr">
        <is>
          <t>VÄSTRA GÖTALANDS LÄN</t>
        </is>
      </c>
      <c r="E2661" t="inlineStr">
        <is>
          <t>UDDEVALLA</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27694-2019</t>
        </is>
      </c>
      <c r="B2662" s="1" t="n">
        <v>43619</v>
      </c>
      <c r="C2662" s="1" t="n">
        <v>45227</v>
      </c>
      <c r="D2662" t="inlineStr">
        <is>
          <t>VÄSTRA GÖTALANDS LÄN</t>
        </is>
      </c>
      <c r="E2662" t="inlineStr">
        <is>
          <t>HJO</t>
        </is>
      </c>
      <c r="G2662" t="n">
        <v>6.3</v>
      </c>
      <c r="H2662" t="n">
        <v>0</v>
      </c>
      <c r="I2662" t="n">
        <v>0</v>
      </c>
      <c r="J2662" t="n">
        <v>0</v>
      </c>
      <c r="K2662" t="n">
        <v>0</v>
      </c>
      <c r="L2662" t="n">
        <v>0</v>
      </c>
      <c r="M2662" t="n">
        <v>0</v>
      </c>
      <c r="N2662" t="n">
        <v>0</v>
      </c>
      <c r="O2662" t="n">
        <v>0</v>
      </c>
      <c r="P2662" t="n">
        <v>0</v>
      </c>
      <c r="Q2662" t="n">
        <v>0</v>
      </c>
      <c r="R2662" s="2" t="inlineStr"/>
    </row>
    <row r="2663" ht="15" customHeight="1">
      <c r="A2663" t="inlineStr">
        <is>
          <t>A 27481-2019</t>
        </is>
      </c>
      <c r="B2663" s="1" t="n">
        <v>43619</v>
      </c>
      <c r="C2663" s="1" t="n">
        <v>45227</v>
      </c>
      <c r="D2663" t="inlineStr">
        <is>
          <t>VÄSTRA GÖTALANDS LÄN</t>
        </is>
      </c>
      <c r="E2663" t="inlineStr">
        <is>
          <t>TROLLHÄTTAN</t>
        </is>
      </c>
      <c r="G2663" t="n">
        <v>5.4</v>
      </c>
      <c r="H2663" t="n">
        <v>0</v>
      </c>
      <c r="I2663" t="n">
        <v>0</v>
      </c>
      <c r="J2663" t="n">
        <v>0</v>
      </c>
      <c r="K2663" t="n">
        <v>0</v>
      </c>
      <c r="L2663" t="n">
        <v>0</v>
      </c>
      <c r="M2663" t="n">
        <v>0</v>
      </c>
      <c r="N2663" t="n">
        <v>0</v>
      </c>
      <c r="O2663" t="n">
        <v>0</v>
      </c>
      <c r="P2663" t="n">
        <v>0</v>
      </c>
      <c r="Q2663" t="n">
        <v>0</v>
      </c>
      <c r="R2663" s="2" t="inlineStr"/>
    </row>
    <row r="2664" ht="15" customHeight="1">
      <c r="A2664" t="inlineStr">
        <is>
          <t>A 27517-2019</t>
        </is>
      </c>
      <c r="B2664" s="1" t="n">
        <v>43619</v>
      </c>
      <c r="C2664" s="1" t="n">
        <v>45227</v>
      </c>
      <c r="D2664" t="inlineStr">
        <is>
          <t>VÄSTRA GÖTALANDS LÄN</t>
        </is>
      </c>
      <c r="E2664" t="inlineStr">
        <is>
          <t>STENUNGSUND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27484-2019</t>
        </is>
      </c>
      <c r="B2665" s="1" t="n">
        <v>43619</v>
      </c>
      <c r="C2665" s="1" t="n">
        <v>45227</v>
      </c>
      <c r="D2665" t="inlineStr">
        <is>
          <t>VÄSTRA GÖTALANDS LÄN</t>
        </is>
      </c>
      <c r="E2665" t="inlineStr">
        <is>
          <t>BENGTSFORS</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27646-2019</t>
        </is>
      </c>
      <c r="B2666" s="1" t="n">
        <v>43619</v>
      </c>
      <c r="C2666" s="1" t="n">
        <v>45227</v>
      </c>
      <c r="D2666" t="inlineStr">
        <is>
          <t>VÄSTRA GÖTALANDS LÄN</t>
        </is>
      </c>
      <c r="E2666" t="inlineStr">
        <is>
          <t>SKARA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27829-2019</t>
        </is>
      </c>
      <c r="B2667" s="1" t="n">
        <v>43620</v>
      </c>
      <c r="C2667" s="1" t="n">
        <v>45227</v>
      </c>
      <c r="D2667" t="inlineStr">
        <is>
          <t>VÄSTRA GÖTALANDS LÄN</t>
        </is>
      </c>
      <c r="E2667" t="inlineStr">
        <is>
          <t>FÄRGELANDA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27883-2019</t>
        </is>
      </c>
      <c r="B2668" s="1" t="n">
        <v>43620</v>
      </c>
      <c r="C2668" s="1" t="n">
        <v>45227</v>
      </c>
      <c r="D2668" t="inlineStr">
        <is>
          <t>VÄSTRA GÖTALANDS LÄN</t>
        </is>
      </c>
      <c r="E2668" t="inlineStr">
        <is>
          <t>MELLERUD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28912-2019</t>
        </is>
      </c>
      <c r="B2669" s="1" t="n">
        <v>43620</v>
      </c>
      <c r="C2669" s="1" t="n">
        <v>45227</v>
      </c>
      <c r="D2669" t="inlineStr">
        <is>
          <t>VÄSTRA GÖTALANDS LÄN</t>
        </is>
      </c>
      <c r="E2669" t="inlineStr">
        <is>
          <t>MELLERUD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27825-2019</t>
        </is>
      </c>
      <c r="B2670" s="1" t="n">
        <v>43620</v>
      </c>
      <c r="C2670" s="1" t="n">
        <v>45227</v>
      </c>
      <c r="D2670" t="inlineStr">
        <is>
          <t>VÄSTRA GÖTALANDS LÄN</t>
        </is>
      </c>
      <c r="E2670" t="inlineStr">
        <is>
          <t>SVENLJUNGA</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27836-2019</t>
        </is>
      </c>
      <c r="B2671" s="1" t="n">
        <v>43620</v>
      </c>
      <c r="C2671" s="1" t="n">
        <v>45227</v>
      </c>
      <c r="D2671" t="inlineStr">
        <is>
          <t>VÄSTRA GÖTALANDS LÄN</t>
        </is>
      </c>
      <c r="E2671" t="inlineStr">
        <is>
          <t>MELLERUD</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27871-2019</t>
        </is>
      </c>
      <c r="B2672" s="1" t="n">
        <v>43620</v>
      </c>
      <c r="C2672" s="1" t="n">
        <v>45227</v>
      </c>
      <c r="D2672" t="inlineStr">
        <is>
          <t>VÄSTRA GÖTALANDS LÄN</t>
        </is>
      </c>
      <c r="E2672" t="inlineStr">
        <is>
          <t>VÄNERSBORG</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27943-2019</t>
        </is>
      </c>
      <c r="B2673" s="1" t="n">
        <v>43620</v>
      </c>
      <c r="C2673" s="1" t="n">
        <v>45227</v>
      </c>
      <c r="D2673" t="inlineStr">
        <is>
          <t>VÄSTRA GÖTALANDS LÄN</t>
        </is>
      </c>
      <c r="E2673" t="inlineStr">
        <is>
          <t>ALINGSÅS</t>
        </is>
      </c>
      <c r="F2673" t="inlineStr">
        <is>
          <t>Kyrkan</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29000-2019</t>
        </is>
      </c>
      <c r="B2674" s="1" t="n">
        <v>43620</v>
      </c>
      <c r="C2674" s="1" t="n">
        <v>45227</v>
      </c>
      <c r="D2674" t="inlineStr">
        <is>
          <t>VÄSTRA GÖTALANDS LÄN</t>
        </is>
      </c>
      <c r="E2674" t="inlineStr">
        <is>
          <t>VÅRGÅRDA</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27826-2019</t>
        </is>
      </c>
      <c r="B2675" s="1" t="n">
        <v>43620</v>
      </c>
      <c r="C2675" s="1" t="n">
        <v>45227</v>
      </c>
      <c r="D2675" t="inlineStr">
        <is>
          <t>VÄSTRA GÖTALANDS LÄN</t>
        </is>
      </c>
      <c r="E2675" t="inlineStr">
        <is>
          <t>SVENLJUNGA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27874-2019</t>
        </is>
      </c>
      <c r="B2676" s="1" t="n">
        <v>43620</v>
      </c>
      <c r="C2676" s="1" t="n">
        <v>45227</v>
      </c>
      <c r="D2676" t="inlineStr">
        <is>
          <t>VÄSTRA GÖTALANDS LÄN</t>
        </is>
      </c>
      <c r="E2676" t="inlineStr">
        <is>
          <t>VÄNERSBORG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27945-2019</t>
        </is>
      </c>
      <c r="B2677" s="1" t="n">
        <v>43620</v>
      </c>
      <c r="C2677" s="1" t="n">
        <v>45227</v>
      </c>
      <c r="D2677" t="inlineStr">
        <is>
          <t>VÄSTRA GÖTALANDS LÄN</t>
        </is>
      </c>
      <c r="E2677" t="inlineStr">
        <is>
          <t>TIDAHOLM</t>
        </is>
      </c>
      <c r="G2677" t="n">
        <v>0.8</v>
      </c>
      <c r="H2677" t="n">
        <v>0</v>
      </c>
      <c r="I2677" t="n">
        <v>0</v>
      </c>
      <c r="J2677" t="n">
        <v>0</v>
      </c>
      <c r="K2677" t="n">
        <v>0</v>
      </c>
      <c r="L2677" t="n">
        <v>0</v>
      </c>
      <c r="M2677" t="n">
        <v>0</v>
      </c>
      <c r="N2677" t="n">
        <v>0</v>
      </c>
      <c r="O2677" t="n">
        <v>0</v>
      </c>
      <c r="P2677" t="n">
        <v>0</v>
      </c>
      <c r="Q2677" t="n">
        <v>0</v>
      </c>
      <c r="R2677" s="2" t="inlineStr"/>
    </row>
    <row r="2678" ht="15" customHeight="1">
      <c r="A2678" t="inlineStr">
        <is>
          <t>A 29008-2019</t>
        </is>
      </c>
      <c r="B2678" s="1" t="n">
        <v>43620</v>
      </c>
      <c r="C2678" s="1" t="n">
        <v>45227</v>
      </c>
      <c r="D2678" t="inlineStr">
        <is>
          <t>VÄSTRA GÖTALANDS LÄN</t>
        </is>
      </c>
      <c r="E2678" t="inlineStr">
        <is>
          <t>SKÖVDE</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27997-2019</t>
        </is>
      </c>
      <c r="B2679" s="1" t="n">
        <v>43621</v>
      </c>
      <c r="C2679" s="1" t="n">
        <v>45227</v>
      </c>
      <c r="D2679" t="inlineStr">
        <is>
          <t>VÄSTRA GÖTALANDS LÄN</t>
        </is>
      </c>
      <c r="E2679" t="inlineStr">
        <is>
          <t>KARLSBORG</t>
        </is>
      </c>
      <c r="F2679" t="inlineStr">
        <is>
          <t>Sveaskog</t>
        </is>
      </c>
      <c r="G2679" t="n">
        <v>11.9</v>
      </c>
      <c r="H2679" t="n">
        <v>0</v>
      </c>
      <c r="I2679" t="n">
        <v>0</v>
      </c>
      <c r="J2679" t="n">
        <v>0</v>
      </c>
      <c r="K2679" t="n">
        <v>0</v>
      </c>
      <c r="L2679" t="n">
        <v>0</v>
      </c>
      <c r="M2679" t="n">
        <v>0</v>
      </c>
      <c r="N2679" t="n">
        <v>0</v>
      </c>
      <c r="O2679" t="n">
        <v>0</v>
      </c>
      <c r="P2679" t="n">
        <v>0</v>
      </c>
      <c r="Q2679" t="n">
        <v>0</v>
      </c>
      <c r="R2679" s="2" t="inlineStr"/>
    </row>
    <row r="2680" ht="15" customHeight="1">
      <c r="A2680" t="inlineStr">
        <is>
          <t>A 28008-2019</t>
        </is>
      </c>
      <c r="B2680" s="1" t="n">
        <v>43621</v>
      </c>
      <c r="C2680" s="1" t="n">
        <v>45227</v>
      </c>
      <c r="D2680" t="inlineStr">
        <is>
          <t>VÄSTRA GÖTALANDS LÄN</t>
        </is>
      </c>
      <c r="E2680" t="inlineStr">
        <is>
          <t>ORUST</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28015-2019</t>
        </is>
      </c>
      <c r="B2681" s="1" t="n">
        <v>43621</v>
      </c>
      <c r="C2681" s="1" t="n">
        <v>45227</v>
      </c>
      <c r="D2681" t="inlineStr">
        <is>
          <t>VÄSTRA GÖTALANDS LÄN</t>
        </is>
      </c>
      <c r="E2681" t="inlineStr">
        <is>
          <t>ORUST</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28040-2019</t>
        </is>
      </c>
      <c r="B2682" s="1" t="n">
        <v>43621</v>
      </c>
      <c r="C2682" s="1" t="n">
        <v>45227</v>
      </c>
      <c r="D2682" t="inlineStr">
        <is>
          <t>VÄSTRA GÖTALANDS LÄN</t>
        </is>
      </c>
      <c r="E2682" t="inlineStr">
        <is>
          <t>FÄRGELANDA</t>
        </is>
      </c>
      <c r="G2682" t="n">
        <v>7.8</v>
      </c>
      <c r="H2682" t="n">
        <v>0</v>
      </c>
      <c r="I2682" t="n">
        <v>0</v>
      </c>
      <c r="J2682" t="n">
        <v>0</v>
      </c>
      <c r="K2682" t="n">
        <v>0</v>
      </c>
      <c r="L2682" t="n">
        <v>0</v>
      </c>
      <c r="M2682" t="n">
        <v>0</v>
      </c>
      <c r="N2682" t="n">
        <v>0</v>
      </c>
      <c r="O2682" t="n">
        <v>0</v>
      </c>
      <c r="P2682" t="n">
        <v>0</v>
      </c>
      <c r="Q2682" t="n">
        <v>0</v>
      </c>
      <c r="R2682" s="2" t="inlineStr"/>
    </row>
    <row r="2683" ht="15" customHeight="1">
      <c r="A2683" t="inlineStr">
        <is>
          <t>A 28080-2019</t>
        </is>
      </c>
      <c r="B2683" s="1" t="n">
        <v>43621</v>
      </c>
      <c r="C2683" s="1" t="n">
        <v>45227</v>
      </c>
      <c r="D2683" t="inlineStr">
        <is>
          <t>VÄSTRA GÖTALANDS LÄN</t>
        </is>
      </c>
      <c r="E2683" t="inlineStr">
        <is>
          <t>KARLSBORG</t>
        </is>
      </c>
      <c r="F2683" t="inlineStr">
        <is>
          <t>Sveaskog</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29085-2019</t>
        </is>
      </c>
      <c r="B2684" s="1" t="n">
        <v>43621</v>
      </c>
      <c r="C2684" s="1" t="n">
        <v>45227</v>
      </c>
      <c r="D2684" t="inlineStr">
        <is>
          <t>VÄSTRA GÖTALANDS LÄN</t>
        </is>
      </c>
      <c r="E2684" t="inlineStr">
        <is>
          <t>TIDAHOLM</t>
        </is>
      </c>
      <c r="G2684" t="n">
        <v>2.6</v>
      </c>
      <c r="H2684" t="n">
        <v>0</v>
      </c>
      <c r="I2684" t="n">
        <v>0</v>
      </c>
      <c r="J2684" t="n">
        <v>0</v>
      </c>
      <c r="K2684" t="n">
        <v>0</v>
      </c>
      <c r="L2684" t="n">
        <v>0</v>
      </c>
      <c r="M2684" t="n">
        <v>0</v>
      </c>
      <c r="N2684" t="n">
        <v>0</v>
      </c>
      <c r="O2684" t="n">
        <v>0</v>
      </c>
      <c r="P2684" t="n">
        <v>0</v>
      </c>
      <c r="Q2684" t="n">
        <v>0</v>
      </c>
      <c r="R2684" s="2" t="inlineStr"/>
    </row>
    <row r="2685" ht="15" customHeight="1">
      <c r="A2685" t="inlineStr">
        <is>
          <t>A 29188-2019</t>
        </is>
      </c>
      <c r="B2685" s="1" t="n">
        <v>43621</v>
      </c>
      <c r="C2685" s="1" t="n">
        <v>45227</v>
      </c>
      <c r="D2685" t="inlineStr">
        <is>
          <t>VÄSTRA GÖTALANDS LÄN</t>
        </is>
      </c>
      <c r="E2685" t="inlineStr">
        <is>
          <t>ORUST</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27996-2019</t>
        </is>
      </c>
      <c r="B2686" s="1" t="n">
        <v>43621</v>
      </c>
      <c r="C2686" s="1" t="n">
        <v>45227</v>
      </c>
      <c r="D2686" t="inlineStr">
        <is>
          <t>VÄSTRA GÖTALANDS LÄN</t>
        </is>
      </c>
      <c r="E2686" t="inlineStr">
        <is>
          <t>KARLSBORG</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28087-2019</t>
        </is>
      </c>
      <c r="B2687" s="1" t="n">
        <v>43621</v>
      </c>
      <c r="C2687" s="1" t="n">
        <v>45227</v>
      </c>
      <c r="D2687" t="inlineStr">
        <is>
          <t>VÄSTRA GÖTALANDS LÄN</t>
        </is>
      </c>
      <c r="E2687" t="inlineStr">
        <is>
          <t>KARLSBORG</t>
        </is>
      </c>
      <c r="F2687" t="inlineStr">
        <is>
          <t>Sveaskog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28183-2019</t>
        </is>
      </c>
      <c r="B2688" s="1" t="n">
        <v>43621</v>
      </c>
      <c r="C2688" s="1" t="n">
        <v>45227</v>
      </c>
      <c r="D2688" t="inlineStr">
        <is>
          <t>VÄSTRA GÖTALANDS LÄN</t>
        </is>
      </c>
      <c r="E2688" t="inlineStr">
        <is>
          <t>MÖLNDAL</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28187-2019</t>
        </is>
      </c>
      <c r="B2689" s="1" t="n">
        <v>43621</v>
      </c>
      <c r="C2689" s="1" t="n">
        <v>45227</v>
      </c>
      <c r="D2689" t="inlineStr">
        <is>
          <t>VÄSTRA GÖTALANDS LÄN</t>
        </is>
      </c>
      <c r="E2689" t="inlineStr">
        <is>
          <t>ÅMÅL</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29190-2019</t>
        </is>
      </c>
      <c r="B2690" s="1" t="n">
        <v>43621</v>
      </c>
      <c r="C2690" s="1" t="n">
        <v>45227</v>
      </c>
      <c r="D2690" t="inlineStr">
        <is>
          <t>VÄSTRA GÖTALANDS LÄN</t>
        </is>
      </c>
      <c r="E2690" t="inlineStr">
        <is>
          <t>ORUST</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28011-2019</t>
        </is>
      </c>
      <c r="B2691" s="1" t="n">
        <v>43621</v>
      </c>
      <c r="C2691" s="1" t="n">
        <v>45227</v>
      </c>
      <c r="D2691" t="inlineStr">
        <is>
          <t>VÄSTRA GÖTALANDS LÄN</t>
        </is>
      </c>
      <c r="E2691" t="inlineStr">
        <is>
          <t>ORUST</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28084-2019</t>
        </is>
      </c>
      <c r="B2692" s="1" t="n">
        <v>43621</v>
      </c>
      <c r="C2692" s="1" t="n">
        <v>45227</v>
      </c>
      <c r="D2692" t="inlineStr">
        <is>
          <t>VÄSTRA GÖTALANDS LÄN</t>
        </is>
      </c>
      <c r="E2692" t="inlineStr">
        <is>
          <t>KARLSBORG</t>
        </is>
      </c>
      <c r="F2692" t="inlineStr">
        <is>
          <t>Sveaskog</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28317-2019</t>
        </is>
      </c>
      <c r="B2693" s="1" t="n">
        <v>43623</v>
      </c>
      <c r="C2693" s="1" t="n">
        <v>45227</v>
      </c>
      <c r="D2693" t="inlineStr">
        <is>
          <t>VÄSTRA GÖTALANDS LÄN</t>
        </is>
      </c>
      <c r="E2693" t="inlineStr">
        <is>
          <t>STRÖMSTAD</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28254-2019</t>
        </is>
      </c>
      <c r="B2694" s="1" t="n">
        <v>43623</v>
      </c>
      <c r="C2694" s="1" t="n">
        <v>45227</v>
      </c>
      <c r="D2694" t="inlineStr">
        <is>
          <t>VÄSTRA GÖTALANDS LÄN</t>
        </is>
      </c>
      <c r="E2694" t="inlineStr">
        <is>
          <t>SKÖVDE</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28346-2019</t>
        </is>
      </c>
      <c r="B2695" s="1" t="n">
        <v>43624</v>
      </c>
      <c r="C2695" s="1" t="n">
        <v>45227</v>
      </c>
      <c r="D2695" t="inlineStr">
        <is>
          <t>VÄSTRA GÖTALANDS LÄN</t>
        </is>
      </c>
      <c r="E2695" t="inlineStr">
        <is>
          <t>BOLLEBYGD</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28362-2019</t>
        </is>
      </c>
      <c r="B2696" s="1" t="n">
        <v>43625</v>
      </c>
      <c r="C2696" s="1" t="n">
        <v>45227</v>
      </c>
      <c r="D2696" t="inlineStr">
        <is>
          <t>VÄSTRA GÖTALANDS LÄN</t>
        </is>
      </c>
      <c r="E2696" t="inlineStr">
        <is>
          <t>MARK</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28478-2019</t>
        </is>
      </c>
      <c r="B2697" s="1" t="n">
        <v>43626</v>
      </c>
      <c r="C2697" s="1" t="n">
        <v>45227</v>
      </c>
      <c r="D2697" t="inlineStr">
        <is>
          <t>VÄSTRA GÖTALANDS LÄN</t>
        </is>
      </c>
      <c r="E2697" t="inlineStr">
        <is>
          <t>SVENLJUNGA</t>
        </is>
      </c>
      <c r="G2697" t="n">
        <v>2.8</v>
      </c>
      <c r="H2697" t="n">
        <v>0</v>
      </c>
      <c r="I2697" t="n">
        <v>0</v>
      </c>
      <c r="J2697" t="n">
        <v>0</v>
      </c>
      <c r="K2697" t="n">
        <v>0</v>
      </c>
      <c r="L2697" t="n">
        <v>0</v>
      </c>
      <c r="M2697" t="n">
        <v>0</v>
      </c>
      <c r="N2697" t="n">
        <v>0</v>
      </c>
      <c r="O2697" t="n">
        <v>0</v>
      </c>
      <c r="P2697" t="n">
        <v>0</v>
      </c>
      <c r="Q2697" t="n">
        <v>0</v>
      </c>
      <c r="R2697" s="2" t="inlineStr"/>
    </row>
    <row r="2698" ht="15" customHeight="1">
      <c r="A2698" t="inlineStr">
        <is>
          <t>A 28505-2019</t>
        </is>
      </c>
      <c r="B2698" s="1" t="n">
        <v>43626</v>
      </c>
      <c r="C2698" s="1" t="n">
        <v>45227</v>
      </c>
      <c r="D2698" t="inlineStr">
        <is>
          <t>VÄSTRA GÖTALANDS LÄN</t>
        </is>
      </c>
      <c r="E2698" t="inlineStr">
        <is>
          <t>TRANEMO</t>
        </is>
      </c>
      <c r="G2698" t="n">
        <v>5.3</v>
      </c>
      <c r="H2698" t="n">
        <v>0</v>
      </c>
      <c r="I2698" t="n">
        <v>0</v>
      </c>
      <c r="J2698" t="n">
        <v>0</v>
      </c>
      <c r="K2698" t="n">
        <v>0</v>
      </c>
      <c r="L2698" t="n">
        <v>0</v>
      </c>
      <c r="M2698" t="n">
        <v>0</v>
      </c>
      <c r="N2698" t="n">
        <v>0</v>
      </c>
      <c r="O2698" t="n">
        <v>0</v>
      </c>
      <c r="P2698" t="n">
        <v>0</v>
      </c>
      <c r="Q2698" t="n">
        <v>0</v>
      </c>
      <c r="R2698" s="2" t="inlineStr"/>
    </row>
    <row r="2699" ht="15" customHeight="1">
      <c r="A2699" t="inlineStr">
        <is>
          <t>A 28420-2019</t>
        </is>
      </c>
      <c r="B2699" s="1" t="n">
        <v>43626</v>
      </c>
      <c r="C2699" s="1" t="n">
        <v>45227</v>
      </c>
      <c r="D2699" t="inlineStr">
        <is>
          <t>VÄSTRA GÖTALANDS LÄN</t>
        </is>
      </c>
      <c r="E2699" t="inlineStr">
        <is>
          <t>STENUNGSUND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28485-2019</t>
        </is>
      </c>
      <c r="B2700" s="1" t="n">
        <v>43626</v>
      </c>
      <c r="C2700" s="1" t="n">
        <v>45227</v>
      </c>
      <c r="D2700" t="inlineStr">
        <is>
          <t>VÄSTRA GÖTALANDS LÄN</t>
        </is>
      </c>
      <c r="E2700" t="inlineStr">
        <is>
          <t>SVENLJUNGA</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28391-2019</t>
        </is>
      </c>
      <c r="B2701" s="1" t="n">
        <v>43626</v>
      </c>
      <c r="C2701" s="1" t="n">
        <v>45227</v>
      </c>
      <c r="D2701" t="inlineStr">
        <is>
          <t>VÄSTRA GÖTALANDS LÄN</t>
        </is>
      </c>
      <c r="E2701" t="inlineStr">
        <is>
          <t>BORÅS</t>
        </is>
      </c>
      <c r="F2701" t="inlineStr">
        <is>
          <t>Kyrkan</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28427-2019</t>
        </is>
      </c>
      <c r="B2702" s="1" t="n">
        <v>43626</v>
      </c>
      <c r="C2702" s="1" t="n">
        <v>45227</v>
      </c>
      <c r="D2702" t="inlineStr">
        <is>
          <t>VÄSTRA GÖTALANDS LÄN</t>
        </is>
      </c>
      <c r="E2702" t="inlineStr">
        <is>
          <t>STENUNGSUND</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28654-2019</t>
        </is>
      </c>
      <c r="B2703" s="1" t="n">
        <v>43627</v>
      </c>
      <c r="C2703" s="1" t="n">
        <v>45227</v>
      </c>
      <c r="D2703" t="inlineStr">
        <is>
          <t>VÄSTRA GÖTALANDS LÄN</t>
        </is>
      </c>
      <c r="E2703" t="inlineStr">
        <is>
          <t>BENGTSFORS</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28703-2019</t>
        </is>
      </c>
      <c r="B2704" s="1" t="n">
        <v>43627</v>
      </c>
      <c r="C2704" s="1" t="n">
        <v>45227</v>
      </c>
      <c r="D2704" t="inlineStr">
        <is>
          <t>VÄSTRA GÖTALANDS LÄN</t>
        </is>
      </c>
      <c r="E2704" t="inlineStr">
        <is>
          <t>BORÅS</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28842-2019</t>
        </is>
      </c>
      <c r="B2705" s="1" t="n">
        <v>43627</v>
      </c>
      <c r="C2705" s="1" t="n">
        <v>45227</v>
      </c>
      <c r="D2705" t="inlineStr">
        <is>
          <t>VÄSTRA GÖTALANDS LÄN</t>
        </is>
      </c>
      <c r="E2705" t="inlineStr">
        <is>
          <t>VARA</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28790-2019</t>
        </is>
      </c>
      <c r="B2706" s="1" t="n">
        <v>43627</v>
      </c>
      <c r="C2706" s="1" t="n">
        <v>45227</v>
      </c>
      <c r="D2706" t="inlineStr">
        <is>
          <t>VÄSTRA GÖTALANDS LÄN</t>
        </is>
      </c>
      <c r="E2706" t="inlineStr">
        <is>
          <t>LIDKÖPING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28618-2019</t>
        </is>
      </c>
      <c r="B2707" s="1" t="n">
        <v>43627</v>
      </c>
      <c r="C2707" s="1" t="n">
        <v>45227</v>
      </c>
      <c r="D2707" t="inlineStr">
        <is>
          <t>VÄSTRA GÖTALANDS LÄN</t>
        </is>
      </c>
      <c r="E2707" t="inlineStr">
        <is>
          <t>BORÅS</t>
        </is>
      </c>
      <c r="G2707" t="n">
        <v>4.4</v>
      </c>
      <c r="H2707" t="n">
        <v>0</v>
      </c>
      <c r="I2707" t="n">
        <v>0</v>
      </c>
      <c r="J2707" t="n">
        <v>0</v>
      </c>
      <c r="K2707" t="n">
        <v>0</v>
      </c>
      <c r="L2707" t="n">
        <v>0</v>
      </c>
      <c r="M2707" t="n">
        <v>0</v>
      </c>
      <c r="N2707" t="n">
        <v>0</v>
      </c>
      <c r="O2707" t="n">
        <v>0</v>
      </c>
      <c r="P2707" t="n">
        <v>0</v>
      </c>
      <c r="Q2707" t="n">
        <v>0</v>
      </c>
      <c r="R2707" s="2" t="inlineStr"/>
    </row>
    <row r="2708" ht="15" customHeight="1">
      <c r="A2708" t="inlineStr">
        <is>
          <t>A 28847-2019</t>
        </is>
      </c>
      <c r="B2708" s="1" t="n">
        <v>43627</v>
      </c>
      <c r="C2708" s="1" t="n">
        <v>45227</v>
      </c>
      <c r="D2708" t="inlineStr">
        <is>
          <t>VÄSTRA GÖTALANDS LÄN</t>
        </is>
      </c>
      <c r="E2708" t="inlineStr">
        <is>
          <t>MARIESTAD</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29521-2019</t>
        </is>
      </c>
      <c r="B2709" s="1" t="n">
        <v>43627</v>
      </c>
      <c r="C2709" s="1" t="n">
        <v>45227</v>
      </c>
      <c r="D2709" t="inlineStr">
        <is>
          <t>VÄSTRA GÖTALANDS LÄN</t>
        </is>
      </c>
      <c r="E2709" t="inlineStr">
        <is>
          <t>MARK</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29134-2019</t>
        </is>
      </c>
      <c r="B2710" s="1" t="n">
        <v>43628</v>
      </c>
      <c r="C2710" s="1" t="n">
        <v>45227</v>
      </c>
      <c r="D2710" t="inlineStr">
        <is>
          <t>VÄSTRA GÖTALANDS LÄN</t>
        </is>
      </c>
      <c r="E2710" t="inlineStr">
        <is>
          <t>MUNKEDAL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29131-2019</t>
        </is>
      </c>
      <c r="B2711" s="1" t="n">
        <v>43628</v>
      </c>
      <c r="C2711" s="1" t="n">
        <v>45227</v>
      </c>
      <c r="D2711" t="inlineStr">
        <is>
          <t>VÄSTRA GÖTALANDS LÄN</t>
        </is>
      </c>
      <c r="E2711" t="inlineStr">
        <is>
          <t>LIDKÖPING</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29040-2019</t>
        </is>
      </c>
      <c r="B2712" s="1" t="n">
        <v>43628</v>
      </c>
      <c r="C2712" s="1" t="n">
        <v>45227</v>
      </c>
      <c r="D2712" t="inlineStr">
        <is>
          <t>VÄSTRA GÖTALANDS LÄN</t>
        </is>
      </c>
      <c r="E2712" t="inlineStr">
        <is>
          <t>ALINGSÅS</t>
        </is>
      </c>
      <c r="F2712" t="inlineStr">
        <is>
          <t>Kyrkan</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29130-2019</t>
        </is>
      </c>
      <c r="B2713" s="1" t="n">
        <v>43628</v>
      </c>
      <c r="C2713" s="1" t="n">
        <v>45227</v>
      </c>
      <c r="D2713" t="inlineStr">
        <is>
          <t>VÄSTRA GÖTALANDS LÄN</t>
        </is>
      </c>
      <c r="E2713" t="inlineStr">
        <is>
          <t>FALKÖPING</t>
        </is>
      </c>
      <c r="G2713" t="n">
        <v>5.4</v>
      </c>
      <c r="H2713" t="n">
        <v>0</v>
      </c>
      <c r="I2713" t="n">
        <v>0</v>
      </c>
      <c r="J2713" t="n">
        <v>0</v>
      </c>
      <c r="K2713" t="n">
        <v>0</v>
      </c>
      <c r="L2713" t="n">
        <v>0</v>
      </c>
      <c r="M2713" t="n">
        <v>0</v>
      </c>
      <c r="N2713" t="n">
        <v>0</v>
      </c>
      <c r="O2713" t="n">
        <v>0</v>
      </c>
      <c r="P2713" t="n">
        <v>0</v>
      </c>
      <c r="Q2713" t="n">
        <v>0</v>
      </c>
      <c r="R2713" s="2" t="inlineStr"/>
    </row>
    <row r="2714" ht="15" customHeight="1">
      <c r="A2714" t="inlineStr">
        <is>
          <t>A 29462-2019</t>
        </is>
      </c>
      <c r="B2714" s="1" t="n">
        <v>43629</v>
      </c>
      <c r="C2714" s="1" t="n">
        <v>45227</v>
      </c>
      <c r="D2714" t="inlineStr">
        <is>
          <t>VÄSTRA GÖTALANDS LÄN</t>
        </is>
      </c>
      <c r="E2714" t="inlineStr">
        <is>
          <t>TIDAHOLM</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29468-2019</t>
        </is>
      </c>
      <c r="B2715" s="1" t="n">
        <v>43629</v>
      </c>
      <c r="C2715" s="1" t="n">
        <v>45227</v>
      </c>
      <c r="D2715" t="inlineStr">
        <is>
          <t>VÄSTRA GÖTALANDS LÄN</t>
        </is>
      </c>
      <c r="E2715" t="inlineStr">
        <is>
          <t>FÄRGELANDA</t>
        </is>
      </c>
      <c r="G2715" t="n">
        <v>4.1</v>
      </c>
      <c r="H2715" t="n">
        <v>0</v>
      </c>
      <c r="I2715" t="n">
        <v>0</v>
      </c>
      <c r="J2715" t="n">
        <v>0</v>
      </c>
      <c r="K2715" t="n">
        <v>0</v>
      </c>
      <c r="L2715" t="n">
        <v>0</v>
      </c>
      <c r="M2715" t="n">
        <v>0</v>
      </c>
      <c r="N2715" t="n">
        <v>0</v>
      </c>
      <c r="O2715" t="n">
        <v>0</v>
      </c>
      <c r="P2715" t="n">
        <v>0</v>
      </c>
      <c r="Q2715" t="n">
        <v>0</v>
      </c>
      <c r="R2715" s="2" t="inlineStr"/>
    </row>
    <row r="2716" ht="15" customHeight="1">
      <c r="A2716" t="inlineStr">
        <is>
          <t>A 29248-2019</t>
        </is>
      </c>
      <c r="B2716" s="1" t="n">
        <v>43629</v>
      </c>
      <c r="C2716" s="1" t="n">
        <v>45227</v>
      </c>
      <c r="D2716" t="inlineStr">
        <is>
          <t>VÄSTRA GÖTALANDS LÄN</t>
        </is>
      </c>
      <c r="E2716" t="inlineStr">
        <is>
          <t>SKÖVDE</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29460-2019</t>
        </is>
      </c>
      <c r="B2717" s="1" t="n">
        <v>43629</v>
      </c>
      <c r="C2717" s="1" t="n">
        <v>45227</v>
      </c>
      <c r="D2717" t="inlineStr">
        <is>
          <t>VÄSTRA GÖTALANDS LÄN</t>
        </is>
      </c>
      <c r="E2717" t="inlineStr">
        <is>
          <t>STRÖMSTAD</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29545-2019</t>
        </is>
      </c>
      <c r="B2718" s="1" t="n">
        <v>43630</v>
      </c>
      <c r="C2718" s="1" t="n">
        <v>45227</v>
      </c>
      <c r="D2718" t="inlineStr">
        <is>
          <t>VÄSTRA GÖTALANDS LÄN</t>
        </is>
      </c>
      <c r="E2718" t="inlineStr">
        <is>
          <t>MUNKEDAL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29584-2019</t>
        </is>
      </c>
      <c r="B2719" s="1" t="n">
        <v>43630</v>
      </c>
      <c r="C2719" s="1" t="n">
        <v>45227</v>
      </c>
      <c r="D2719" t="inlineStr">
        <is>
          <t>VÄSTRA GÖTALANDS LÄN</t>
        </is>
      </c>
      <c r="E2719" t="inlineStr">
        <is>
          <t>KARLSBORG</t>
        </is>
      </c>
      <c r="F2719" t="inlineStr">
        <is>
          <t>Övriga Aktiebolag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29684-2019</t>
        </is>
      </c>
      <c r="B2720" s="1" t="n">
        <v>43630</v>
      </c>
      <c r="C2720" s="1" t="n">
        <v>45227</v>
      </c>
      <c r="D2720" t="inlineStr">
        <is>
          <t>VÄSTRA GÖTALANDS LÄN</t>
        </is>
      </c>
      <c r="E2720" t="inlineStr">
        <is>
          <t>LERUM</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29737-2019</t>
        </is>
      </c>
      <c r="B2721" s="1" t="n">
        <v>43630</v>
      </c>
      <c r="C2721" s="1" t="n">
        <v>45227</v>
      </c>
      <c r="D2721" t="inlineStr">
        <is>
          <t>VÄSTRA GÖTALANDS LÄN</t>
        </is>
      </c>
      <c r="E2721" t="inlineStr">
        <is>
          <t>VARA</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29727-2019</t>
        </is>
      </c>
      <c r="B2722" s="1" t="n">
        <v>43630</v>
      </c>
      <c r="C2722" s="1" t="n">
        <v>45227</v>
      </c>
      <c r="D2722" t="inlineStr">
        <is>
          <t>VÄSTRA GÖTALANDS LÄN</t>
        </is>
      </c>
      <c r="E2722" t="inlineStr">
        <is>
          <t>TIBRO</t>
        </is>
      </c>
      <c r="F2722" t="inlineStr">
        <is>
          <t>Kommuner</t>
        </is>
      </c>
      <c r="G2722" t="n">
        <v>5.8</v>
      </c>
      <c r="H2722" t="n">
        <v>0</v>
      </c>
      <c r="I2722" t="n">
        <v>0</v>
      </c>
      <c r="J2722" t="n">
        <v>0</v>
      </c>
      <c r="K2722" t="n">
        <v>0</v>
      </c>
      <c r="L2722" t="n">
        <v>0</v>
      </c>
      <c r="M2722" t="n">
        <v>0</v>
      </c>
      <c r="N2722" t="n">
        <v>0</v>
      </c>
      <c r="O2722" t="n">
        <v>0</v>
      </c>
      <c r="P2722" t="n">
        <v>0</v>
      </c>
      <c r="Q2722" t="n">
        <v>0</v>
      </c>
      <c r="R2722" s="2" t="inlineStr"/>
    </row>
    <row r="2723" ht="15" customHeight="1">
      <c r="A2723" t="inlineStr">
        <is>
          <t>A 29571-2019</t>
        </is>
      </c>
      <c r="B2723" s="1" t="n">
        <v>43630</v>
      </c>
      <c r="C2723" s="1" t="n">
        <v>45227</v>
      </c>
      <c r="D2723" t="inlineStr">
        <is>
          <t>VÄSTRA GÖTALANDS LÄN</t>
        </is>
      </c>
      <c r="E2723" t="inlineStr">
        <is>
          <t>KARLSBORG</t>
        </is>
      </c>
      <c r="F2723" t="inlineStr">
        <is>
          <t>Övriga Aktiebolag</t>
        </is>
      </c>
      <c r="G2723" t="n">
        <v>4.8</v>
      </c>
      <c r="H2723" t="n">
        <v>0</v>
      </c>
      <c r="I2723" t="n">
        <v>0</v>
      </c>
      <c r="J2723" t="n">
        <v>0</v>
      </c>
      <c r="K2723" t="n">
        <v>0</v>
      </c>
      <c r="L2723" t="n">
        <v>0</v>
      </c>
      <c r="M2723" t="n">
        <v>0</v>
      </c>
      <c r="N2723" t="n">
        <v>0</v>
      </c>
      <c r="O2723" t="n">
        <v>0</v>
      </c>
      <c r="P2723" t="n">
        <v>0</v>
      </c>
      <c r="Q2723" t="n">
        <v>0</v>
      </c>
      <c r="R2723" s="2" t="inlineStr"/>
    </row>
    <row r="2724" ht="15" customHeight="1">
      <c r="A2724" t="inlineStr">
        <is>
          <t>A 29609-2019</t>
        </is>
      </c>
      <c r="B2724" s="1" t="n">
        <v>43630</v>
      </c>
      <c r="C2724" s="1" t="n">
        <v>45227</v>
      </c>
      <c r="D2724" t="inlineStr">
        <is>
          <t>VÄSTRA GÖTALANDS LÄN</t>
        </is>
      </c>
      <c r="E2724" t="inlineStr">
        <is>
          <t>STENUNGSUND</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29732-2019</t>
        </is>
      </c>
      <c r="B2725" s="1" t="n">
        <v>43630</v>
      </c>
      <c r="C2725" s="1" t="n">
        <v>45227</v>
      </c>
      <c r="D2725" t="inlineStr">
        <is>
          <t>VÄSTRA GÖTALANDS LÄN</t>
        </is>
      </c>
      <c r="E2725" t="inlineStr">
        <is>
          <t>MELLERUD</t>
        </is>
      </c>
      <c r="G2725" t="n">
        <v>3</v>
      </c>
      <c r="H2725" t="n">
        <v>0</v>
      </c>
      <c r="I2725" t="n">
        <v>0</v>
      </c>
      <c r="J2725" t="n">
        <v>0</v>
      </c>
      <c r="K2725" t="n">
        <v>0</v>
      </c>
      <c r="L2725" t="n">
        <v>0</v>
      </c>
      <c r="M2725" t="n">
        <v>0</v>
      </c>
      <c r="N2725" t="n">
        <v>0</v>
      </c>
      <c r="O2725" t="n">
        <v>0</v>
      </c>
      <c r="P2725" t="n">
        <v>0</v>
      </c>
      <c r="Q2725" t="n">
        <v>0</v>
      </c>
      <c r="R2725" s="2" t="inlineStr"/>
    </row>
    <row r="2726" ht="15" customHeight="1">
      <c r="A2726" t="inlineStr">
        <is>
          <t>A 29556-2019</t>
        </is>
      </c>
      <c r="B2726" s="1" t="n">
        <v>43630</v>
      </c>
      <c r="C2726" s="1" t="n">
        <v>45227</v>
      </c>
      <c r="D2726" t="inlineStr">
        <is>
          <t>VÄSTRA GÖTALANDS LÄN</t>
        </is>
      </c>
      <c r="E2726" t="inlineStr">
        <is>
          <t>KARLSBORG</t>
        </is>
      </c>
      <c r="F2726" t="inlineStr">
        <is>
          <t>Övriga Aktiebolag</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29617-2019</t>
        </is>
      </c>
      <c r="B2727" s="1" t="n">
        <v>43630</v>
      </c>
      <c r="C2727" s="1" t="n">
        <v>45227</v>
      </c>
      <c r="D2727" t="inlineStr">
        <is>
          <t>VÄSTRA GÖTALANDS LÄN</t>
        </is>
      </c>
      <c r="E2727" t="inlineStr">
        <is>
          <t>KARLSBORG</t>
        </is>
      </c>
      <c r="F2727" t="inlineStr">
        <is>
          <t>Övriga Aktiebolag</t>
        </is>
      </c>
      <c r="G2727" t="n">
        <v>1.9</v>
      </c>
      <c r="H2727" t="n">
        <v>0</v>
      </c>
      <c r="I2727" t="n">
        <v>0</v>
      </c>
      <c r="J2727" t="n">
        <v>0</v>
      </c>
      <c r="K2727" t="n">
        <v>0</v>
      </c>
      <c r="L2727" t="n">
        <v>0</v>
      </c>
      <c r="M2727" t="n">
        <v>0</v>
      </c>
      <c r="N2727" t="n">
        <v>0</v>
      </c>
      <c r="O2727" t="n">
        <v>0</v>
      </c>
      <c r="P2727" t="n">
        <v>0</v>
      </c>
      <c r="Q2727" t="n">
        <v>0</v>
      </c>
      <c r="R2727" s="2" t="inlineStr"/>
    </row>
    <row r="2728" ht="15" customHeight="1">
      <c r="A2728" t="inlineStr">
        <is>
          <t>A 30231-2019</t>
        </is>
      </c>
      <c r="B2728" s="1" t="n">
        <v>43630</v>
      </c>
      <c r="C2728" s="1" t="n">
        <v>45227</v>
      </c>
      <c r="D2728" t="inlineStr">
        <is>
          <t>VÄSTRA GÖTALANDS LÄN</t>
        </is>
      </c>
      <c r="E2728" t="inlineStr">
        <is>
          <t>ALINGSÅS</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30273-2019</t>
        </is>
      </c>
      <c r="B2729" s="1" t="n">
        <v>43632</v>
      </c>
      <c r="C2729" s="1" t="n">
        <v>45227</v>
      </c>
      <c r="D2729" t="inlineStr">
        <is>
          <t>VÄSTRA GÖTALANDS LÄN</t>
        </is>
      </c>
      <c r="E2729" t="inlineStr">
        <is>
          <t>MUNKEDAL</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30216-2019</t>
        </is>
      </c>
      <c r="B2730" s="1" t="n">
        <v>43632</v>
      </c>
      <c r="C2730" s="1" t="n">
        <v>45227</v>
      </c>
      <c r="D2730" t="inlineStr">
        <is>
          <t>VÄSTRA GÖTALANDS LÄN</t>
        </is>
      </c>
      <c r="E2730" t="inlineStr">
        <is>
          <t>MUNKEDAL</t>
        </is>
      </c>
      <c r="G2730" t="n">
        <v>7.6</v>
      </c>
      <c r="H2730" t="n">
        <v>0</v>
      </c>
      <c r="I2730" t="n">
        <v>0</v>
      </c>
      <c r="J2730" t="n">
        <v>0</v>
      </c>
      <c r="K2730" t="n">
        <v>0</v>
      </c>
      <c r="L2730" t="n">
        <v>0</v>
      </c>
      <c r="M2730" t="n">
        <v>0</v>
      </c>
      <c r="N2730" t="n">
        <v>0</v>
      </c>
      <c r="O2730" t="n">
        <v>0</v>
      </c>
      <c r="P2730" t="n">
        <v>0</v>
      </c>
      <c r="Q2730" t="n">
        <v>0</v>
      </c>
      <c r="R2730" s="2" t="inlineStr"/>
    </row>
    <row r="2731" ht="15" customHeight="1">
      <c r="A2731" t="inlineStr">
        <is>
          <t>A 29768-2019</t>
        </is>
      </c>
      <c r="B2731" s="1" t="n">
        <v>43632</v>
      </c>
      <c r="C2731" s="1" t="n">
        <v>45227</v>
      </c>
      <c r="D2731" t="inlineStr">
        <is>
          <t>VÄSTRA GÖTALANDS LÄN</t>
        </is>
      </c>
      <c r="E2731" t="inlineStr">
        <is>
          <t>BOLLEBYGD</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30278-2019</t>
        </is>
      </c>
      <c r="B2732" s="1" t="n">
        <v>43632</v>
      </c>
      <c r="C2732" s="1" t="n">
        <v>45227</v>
      </c>
      <c r="D2732" t="inlineStr">
        <is>
          <t>VÄSTRA GÖTALANDS LÄN</t>
        </is>
      </c>
      <c r="E2732" t="inlineStr">
        <is>
          <t>TANUM</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30098-2019</t>
        </is>
      </c>
      <c r="B2733" s="1" t="n">
        <v>43633</v>
      </c>
      <c r="C2733" s="1" t="n">
        <v>45227</v>
      </c>
      <c r="D2733" t="inlineStr">
        <is>
          <t>VÄSTRA GÖTALANDS LÄN</t>
        </is>
      </c>
      <c r="E2733" t="inlineStr">
        <is>
          <t>BENGTSFORS</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30406-2019</t>
        </is>
      </c>
      <c r="B2734" s="1" t="n">
        <v>43633</v>
      </c>
      <c r="C2734" s="1" t="n">
        <v>45227</v>
      </c>
      <c r="D2734" t="inlineStr">
        <is>
          <t>VÄSTRA GÖTALANDS LÄN</t>
        </is>
      </c>
      <c r="E2734" t="inlineStr">
        <is>
          <t>ÅMÅL</t>
        </is>
      </c>
      <c r="G2734" t="n">
        <v>3</v>
      </c>
      <c r="H2734" t="n">
        <v>0</v>
      </c>
      <c r="I2734" t="n">
        <v>0</v>
      </c>
      <c r="J2734" t="n">
        <v>0</v>
      </c>
      <c r="K2734" t="n">
        <v>0</v>
      </c>
      <c r="L2734" t="n">
        <v>0</v>
      </c>
      <c r="M2734" t="n">
        <v>0</v>
      </c>
      <c r="N2734" t="n">
        <v>0</v>
      </c>
      <c r="O2734" t="n">
        <v>0</v>
      </c>
      <c r="P2734" t="n">
        <v>0</v>
      </c>
      <c r="Q2734" t="n">
        <v>0</v>
      </c>
      <c r="R2734" s="2" t="inlineStr"/>
    </row>
    <row r="2735" ht="15" customHeight="1">
      <c r="A2735" t="inlineStr">
        <is>
          <t>A 30454-2019</t>
        </is>
      </c>
      <c r="B2735" s="1" t="n">
        <v>43633</v>
      </c>
      <c r="C2735" s="1" t="n">
        <v>45227</v>
      </c>
      <c r="D2735" t="inlineStr">
        <is>
          <t>VÄSTRA GÖTALANDS LÄN</t>
        </is>
      </c>
      <c r="E2735" t="inlineStr">
        <is>
          <t>ALINGSÅS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29906-2019</t>
        </is>
      </c>
      <c r="B2736" s="1" t="n">
        <v>43633</v>
      </c>
      <c r="C2736" s="1" t="n">
        <v>45227</v>
      </c>
      <c r="D2736" t="inlineStr">
        <is>
          <t>VÄSTRA GÖTALANDS LÄN</t>
        </is>
      </c>
      <c r="E2736" t="inlineStr">
        <is>
          <t>STENUNGSUND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29905-2019</t>
        </is>
      </c>
      <c r="B2737" s="1" t="n">
        <v>43633</v>
      </c>
      <c r="C2737" s="1" t="n">
        <v>45227</v>
      </c>
      <c r="D2737" t="inlineStr">
        <is>
          <t>VÄSTRA GÖTALANDS LÄN</t>
        </is>
      </c>
      <c r="E2737" t="inlineStr">
        <is>
          <t>BENGTSFORS</t>
        </is>
      </c>
      <c r="G2737" t="n">
        <v>4.6</v>
      </c>
      <c r="H2737" t="n">
        <v>0</v>
      </c>
      <c r="I2737" t="n">
        <v>0</v>
      </c>
      <c r="J2737" t="n">
        <v>0</v>
      </c>
      <c r="K2737" t="n">
        <v>0</v>
      </c>
      <c r="L2737" t="n">
        <v>0</v>
      </c>
      <c r="M2737" t="n">
        <v>0</v>
      </c>
      <c r="N2737" t="n">
        <v>0</v>
      </c>
      <c r="O2737" t="n">
        <v>0</v>
      </c>
      <c r="P2737" t="n">
        <v>0</v>
      </c>
      <c r="Q2737" t="n">
        <v>0</v>
      </c>
      <c r="R2737" s="2" t="inlineStr"/>
    </row>
    <row r="2738" ht="15" customHeight="1">
      <c r="A2738" t="inlineStr">
        <is>
          <t>A 30280-2019</t>
        </is>
      </c>
      <c r="B2738" s="1" t="n">
        <v>43633</v>
      </c>
      <c r="C2738" s="1" t="n">
        <v>45227</v>
      </c>
      <c r="D2738" t="inlineStr">
        <is>
          <t>VÄSTRA GÖTALANDS LÄN</t>
        </is>
      </c>
      <c r="E2738" t="inlineStr">
        <is>
          <t>DALS-ED</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30494-2019</t>
        </is>
      </c>
      <c r="B2739" s="1" t="n">
        <v>43633</v>
      </c>
      <c r="C2739" s="1" t="n">
        <v>45227</v>
      </c>
      <c r="D2739" t="inlineStr">
        <is>
          <t>VÄSTRA GÖTALANDS LÄN</t>
        </is>
      </c>
      <c r="E2739" t="inlineStr">
        <is>
          <t>SKARA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29830-2019</t>
        </is>
      </c>
      <c r="B2740" s="1" t="n">
        <v>43633</v>
      </c>
      <c r="C2740" s="1" t="n">
        <v>45227</v>
      </c>
      <c r="D2740" t="inlineStr">
        <is>
          <t>VÄSTRA GÖTALANDS LÄN</t>
        </is>
      </c>
      <c r="E2740" t="inlineStr">
        <is>
          <t>VÅRGÅRDA</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30458-2019</t>
        </is>
      </c>
      <c r="B2741" s="1" t="n">
        <v>43633</v>
      </c>
      <c r="C2741" s="1" t="n">
        <v>45227</v>
      </c>
      <c r="D2741" t="inlineStr">
        <is>
          <t>VÄSTRA GÖTALANDS LÄN</t>
        </is>
      </c>
      <c r="E2741" t="inlineStr">
        <is>
          <t>DALS-ED</t>
        </is>
      </c>
      <c r="G2741" t="n">
        <v>5.6</v>
      </c>
      <c r="H2741" t="n">
        <v>0</v>
      </c>
      <c r="I2741" t="n">
        <v>0</v>
      </c>
      <c r="J2741" t="n">
        <v>0</v>
      </c>
      <c r="K2741" t="n">
        <v>0</v>
      </c>
      <c r="L2741" t="n">
        <v>0</v>
      </c>
      <c r="M2741" t="n">
        <v>0</v>
      </c>
      <c r="N2741" t="n">
        <v>0</v>
      </c>
      <c r="O2741" t="n">
        <v>0</v>
      </c>
      <c r="P2741" t="n">
        <v>0</v>
      </c>
      <c r="Q2741" t="n">
        <v>0</v>
      </c>
      <c r="R2741" s="2" t="inlineStr"/>
    </row>
    <row r="2742" ht="15" customHeight="1">
      <c r="A2742" t="inlineStr">
        <is>
          <t>A 30238-2019</t>
        </is>
      </c>
      <c r="B2742" s="1" t="n">
        <v>43634</v>
      </c>
      <c r="C2742" s="1" t="n">
        <v>45227</v>
      </c>
      <c r="D2742" t="inlineStr">
        <is>
          <t>VÄSTRA GÖTALANDS LÄN</t>
        </is>
      </c>
      <c r="E2742" t="inlineStr">
        <is>
          <t>BOLLEBYGD</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30311-2019</t>
        </is>
      </c>
      <c r="B2743" s="1" t="n">
        <v>43634</v>
      </c>
      <c r="C2743" s="1" t="n">
        <v>45227</v>
      </c>
      <c r="D2743" t="inlineStr">
        <is>
          <t>VÄSTRA GÖTALANDS LÄN</t>
        </is>
      </c>
      <c r="E2743" t="inlineStr">
        <is>
          <t>KARLSBORG</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30453-2019</t>
        </is>
      </c>
      <c r="B2744" s="1" t="n">
        <v>43634</v>
      </c>
      <c r="C2744" s="1" t="n">
        <v>45227</v>
      </c>
      <c r="D2744" t="inlineStr">
        <is>
          <t>VÄSTRA GÖTALANDS LÄN</t>
        </is>
      </c>
      <c r="E2744" t="inlineStr">
        <is>
          <t>KUNGÄLV</t>
        </is>
      </c>
      <c r="G2744" t="n">
        <v>13.6</v>
      </c>
      <c r="H2744" t="n">
        <v>0</v>
      </c>
      <c r="I2744" t="n">
        <v>0</v>
      </c>
      <c r="J2744" t="n">
        <v>0</v>
      </c>
      <c r="K2744" t="n">
        <v>0</v>
      </c>
      <c r="L2744" t="n">
        <v>0</v>
      </c>
      <c r="M2744" t="n">
        <v>0</v>
      </c>
      <c r="N2744" t="n">
        <v>0</v>
      </c>
      <c r="O2744" t="n">
        <v>0</v>
      </c>
      <c r="P2744" t="n">
        <v>0</v>
      </c>
      <c r="Q2744" t="n">
        <v>0</v>
      </c>
      <c r="R2744" s="2" t="inlineStr"/>
    </row>
    <row r="2745" ht="15" customHeight="1">
      <c r="A2745" t="inlineStr">
        <is>
          <t>A 30191-2019</t>
        </is>
      </c>
      <c r="B2745" s="1" t="n">
        <v>43634</v>
      </c>
      <c r="C2745" s="1" t="n">
        <v>45227</v>
      </c>
      <c r="D2745" t="inlineStr">
        <is>
          <t>VÄSTRA GÖTALANDS LÄN</t>
        </is>
      </c>
      <c r="E2745" t="inlineStr">
        <is>
          <t>LILLA EDET</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30318-2019</t>
        </is>
      </c>
      <c r="B2746" s="1" t="n">
        <v>43634</v>
      </c>
      <c r="C2746" s="1" t="n">
        <v>45227</v>
      </c>
      <c r="D2746" t="inlineStr">
        <is>
          <t>VÄSTRA GÖTALANDS LÄN</t>
        </is>
      </c>
      <c r="E2746" t="inlineStr">
        <is>
          <t>KARLSBORG</t>
        </is>
      </c>
      <c r="G2746" t="n">
        <v>2.6</v>
      </c>
      <c r="H2746" t="n">
        <v>0</v>
      </c>
      <c r="I2746" t="n">
        <v>0</v>
      </c>
      <c r="J2746" t="n">
        <v>0</v>
      </c>
      <c r="K2746" t="n">
        <v>0</v>
      </c>
      <c r="L2746" t="n">
        <v>0</v>
      </c>
      <c r="M2746" t="n">
        <v>0</v>
      </c>
      <c r="N2746" t="n">
        <v>0</v>
      </c>
      <c r="O2746" t="n">
        <v>0</v>
      </c>
      <c r="P2746" t="n">
        <v>0</v>
      </c>
      <c r="Q2746" t="n">
        <v>0</v>
      </c>
      <c r="R2746" s="2" t="inlineStr"/>
    </row>
    <row r="2747" ht="15" customHeight="1">
      <c r="A2747" t="inlineStr">
        <is>
          <t>A 30210-2019</t>
        </is>
      </c>
      <c r="B2747" s="1" t="n">
        <v>43634</v>
      </c>
      <c r="C2747" s="1" t="n">
        <v>45227</v>
      </c>
      <c r="D2747" t="inlineStr">
        <is>
          <t>VÄSTRA GÖTALANDS LÄN</t>
        </is>
      </c>
      <c r="E2747" t="inlineStr">
        <is>
          <t>KARLSBORG</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30245-2019</t>
        </is>
      </c>
      <c r="B2748" s="1" t="n">
        <v>43634</v>
      </c>
      <c r="C2748" s="1" t="n">
        <v>45227</v>
      </c>
      <c r="D2748" t="inlineStr">
        <is>
          <t>VÄSTRA GÖTALANDS LÄN</t>
        </is>
      </c>
      <c r="E2748" t="inlineStr">
        <is>
          <t>SVENLJUNGA</t>
        </is>
      </c>
      <c r="G2748" t="n">
        <v>2</v>
      </c>
      <c r="H2748" t="n">
        <v>0</v>
      </c>
      <c r="I2748" t="n">
        <v>0</v>
      </c>
      <c r="J2748" t="n">
        <v>0</v>
      </c>
      <c r="K2748" t="n">
        <v>0</v>
      </c>
      <c r="L2748" t="n">
        <v>0</v>
      </c>
      <c r="M2748" t="n">
        <v>0</v>
      </c>
      <c r="N2748" t="n">
        <v>0</v>
      </c>
      <c r="O2748" t="n">
        <v>0</v>
      </c>
      <c r="P2748" t="n">
        <v>0</v>
      </c>
      <c r="Q2748" t="n">
        <v>0</v>
      </c>
      <c r="R2748" s="2" t="inlineStr"/>
    </row>
    <row r="2749" ht="15" customHeight="1">
      <c r="A2749" t="inlineStr">
        <is>
          <t>A 30320-2019</t>
        </is>
      </c>
      <c r="B2749" s="1" t="n">
        <v>43634</v>
      </c>
      <c r="C2749" s="1" t="n">
        <v>45227</v>
      </c>
      <c r="D2749" t="inlineStr">
        <is>
          <t>VÄSTRA GÖTALANDS LÄN</t>
        </is>
      </c>
      <c r="E2749" t="inlineStr">
        <is>
          <t>KARLSBORG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30444-2019</t>
        </is>
      </c>
      <c r="B2750" s="1" t="n">
        <v>43635</v>
      </c>
      <c r="C2750" s="1" t="n">
        <v>45227</v>
      </c>
      <c r="D2750" t="inlineStr">
        <is>
          <t>VÄSTRA GÖTALANDS LÄN</t>
        </is>
      </c>
      <c r="E2750" t="inlineStr">
        <is>
          <t>ÅMÅL</t>
        </is>
      </c>
      <c r="G2750" t="n">
        <v>6</v>
      </c>
      <c r="H2750" t="n">
        <v>0</v>
      </c>
      <c r="I2750" t="n">
        <v>0</v>
      </c>
      <c r="J2750" t="n">
        <v>0</v>
      </c>
      <c r="K2750" t="n">
        <v>0</v>
      </c>
      <c r="L2750" t="n">
        <v>0</v>
      </c>
      <c r="M2750" t="n">
        <v>0</v>
      </c>
      <c r="N2750" t="n">
        <v>0</v>
      </c>
      <c r="O2750" t="n">
        <v>0</v>
      </c>
      <c r="P2750" t="n">
        <v>0</v>
      </c>
      <c r="Q2750" t="n">
        <v>0</v>
      </c>
      <c r="R2750" s="2" t="inlineStr"/>
    </row>
    <row r="2751" ht="15" customHeight="1">
      <c r="A2751" t="inlineStr">
        <is>
          <t>A 30538-2019</t>
        </is>
      </c>
      <c r="B2751" s="1" t="n">
        <v>43635</v>
      </c>
      <c r="C2751" s="1" t="n">
        <v>45227</v>
      </c>
      <c r="D2751" t="inlineStr">
        <is>
          <t>VÄSTRA GÖTALANDS LÄN</t>
        </is>
      </c>
      <c r="E2751" t="inlineStr">
        <is>
          <t>BENGTSFORS</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30703-2019</t>
        </is>
      </c>
      <c r="B2752" s="1" t="n">
        <v>43635</v>
      </c>
      <c r="C2752" s="1" t="n">
        <v>45227</v>
      </c>
      <c r="D2752" t="inlineStr">
        <is>
          <t>VÄSTRA GÖTALANDS LÄN</t>
        </is>
      </c>
      <c r="E2752" t="inlineStr">
        <is>
          <t>GÖTENE</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30576-2019</t>
        </is>
      </c>
      <c r="B2753" s="1" t="n">
        <v>43635</v>
      </c>
      <c r="C2753" s="1" t="n">
        <v>45227</v>
      </c>
      <c r="D2753" t="inlineStr">
        <is>
          <t>VÄSTRA GÖTALANDS LÄN</t>
        </is>
      </c>
      <c r="E2753" t="inlineStr">
        <is>
          <t>BORÅS</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30441-2019</t>
        </is>
      </c>
      <c r="B2754" s="1" t="n">
        <v>43635</v>
      </c>
      <c r="C2754" s="1" t="n">
        <v>45227</v>
      </c>
      <c r="D2754" t="inlineStr">
        <is>
          <t>VÄSTRA GÖTALANDS LÄN</t>
        </is>
      </c>
      <c r="E2754" t="inlineStr">
        <is>
          <t>ÅMÅL</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30683-2019</t>
        </is>
      </c>
      <c r="B2755" s="1" t="n">
        <v>43635</v>
      </c>
      <c r="C2755" s="1" t="n">
        <v>45227</v>
      </c>
      <c r="D2755" t="inlineStr">
        <is>
          <t>VÄSTRA GÖTALANDS LÄN</t>
        </is>
      </c>
      <c r="E2755" t="inlineStr">
        <is>
          <t>TÖREBODA</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30516-2019</t>
        </is>
      </c>
      <c r="B2756" s="1" t="n">
        <v>43635</v>
      </c>
      <c r="C2756" s="1" t="n">
        <v>45227</v>
      </c>
      <c r="D2756" t="inlineStr">
        <is>
          <t>VÄSTRA GÖTALANDS LÄN</t>
        </is>
      </c>
      <c r="E2756" t="inlineStr">
        <is>
          <t>ALINGSÅS</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30675-2019</t>
        </is>
      </c>
      <c r="B2757" s="1" t="n">
        <v>43635</v>
      </c>
      <c r="C2757" s="1" t="n">
        <v>45227</v>
      </c>
      <c r="D2757" t="inlineStr">
        <is>
          <t>VÄSTRA GÖTALANDS LÄN</t>
        </is>
      </c>
      <c r="E2757" t="inlineStr">
        <is>
          <t>KARLSBORG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30688-2019</t>
        </is>
      </c>
      <c r="B2758" s="1" t="n">
        <v>43636</v>
      </c>
      <c r="C2758" s="1" t="n">
        <v>45227</v>
      </c>
      <c r="D2758" t="inlineStr">
        <is>
          <t>VÄSTRA GÖTALANDS LÄN</t>
        </is>
      </c>
      <c r="E2758" t="inlineStr">
        <is>
          <t>VÅRGÅRDA</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30784-2019</t>
        </is>
      </c>
      <c r="B2759" s="1" t="n">
        <v>43636</v>
      </c>
      <c r="C2759" s="1" t="n">
        <v>45227</v>
      </c>
      <c r="D2759" t="inlineStr">
        <is>
          <t>VÄSTRA GÖTALANDS LÄN</t>
        </is>
      </c>
      <c r="E2759" t="inlineStr">
        <is>
          <t>MELLERUD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30852-2019</t>
        </is>
      </c>
      <c r="B2760" s="1" t="n">
        <v>43636</v>
      </c>
      <c r="C2760" s="1" t="n">
        <v>45227</v>
      </c>
      <c r="D2760" t="inlineStr">
        <is>
          <t>VÄSTRA GÖTALANDS LÄN</t>
        </is>
      </c>
      <c r="E2760" t="inlineStr">
        <is>
          <t>UDDEVALLA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30911-2019</t>
        </is>
      </c>
      <c r="B2761" s="1" t="n">
        <v>43636</v>
      </c>
      <c r="C2761" s="1" t="n">
        <v>45227</v>
      </c>
      <c r="D2761" t="inlineStr">
        <is>
          <t>VÄSTRA GÖTALANDS LÄN</t>
        </is>
      </c>
      <c r="E2761" t="inlineStr">
        <is>
          <t>FÄRGELANDA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30743-2019</t>
        </is>
      </c>
      <c r="B2762" s="1" t="n">
        <v>43636</v>
      </c>
      <c r="C2762" s="1" t="n">
        <v>45227</v>
      </c>
      <c r="D2762" t="inlineStr">
        <is>
          <t>VÄSTRA GÖTALANDS LÄN</t>
        </is>
      </c>
      <c r="E2762" t="inlineStr">
        <is>
          <t>SKARA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30782-2019</t>
        </is>
      </c>
      <c r="B2763" s="1" t="n">
        <v>43636</v>
      </c>
      <c r="C2763" s="1" t="n">
        <v>45227</v>
      </c>
      <c r="D2763" t="inlineStr">
        <is>
          <t>VÄSTRA GÖTALANDS LÄN</t>
        </is>
      </c>
      <c r="E2763" t="inlineStr">
        <is>
          <t>MELLERUD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30800-2019</t>
        </is>
      </c>
      <c r="B2764" s="1" t="n">
        <v>43636</v>
      </c>
      <c r="C2764" s="1" t="n">
        <v>45227</v>
      </c>
      <c r="D2764" t="inlineStr">
        <is>
          <t>VÄSTRA GÖTALANDS LÄN</t>
        </is>
      </c>
      <c r="E2764" t="inlineStr">
        <is>
          <t>HÄRRYDA</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30865-2019</t>
        </is>
      </c>
      <c r="B2765" s="1" t="n">
        <v>43636</v>
      </c>
      <c r="C2765" s="1" t="n">
        <v>45227</v>
      </c>
      <c r="D2765" t="inlineStr">
        <is>
          <t>VÄSTRA GÖTALANDS LÄN</t>
        </is>
      </c>
      <c r="E2765" t="inlineStr">
        <is>
          <t>SKARA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30797-2019</t>
        </is>
      </c>
      <c r="B2766" s="1" t="n">
        <v>43636</v>
      </c>
      <c r="C2766" s="1" t="n">
        <v>45227</v>
      </c>
      <c r="D2766" t="inlineStr">
        <is>
          <t>VÄSTRA GÖTALANDS LÄN</t>
        </is>
      </c>
      <c r="E2766" t="inlineStr">
        <is>
          <t>BOLLEBYGD</t>
        </is>
      </c>
      <c r="G2766" t="n">
        <v>20.3</v>
      </c>
      <c r="H2766" t="n">
        <v>0</v>
      </c>
      <c r="I2766" t="n">
        <v>0</v>
      </c>
      <c r="J2766" t="n">
        <v>0</v>
      </c>
      <c r="K2766" t="n">
        <v>0</v>
      </c>
      <c r="L2766" t="n">
        <v>0</v>
      </c>
      <c r="M2766" t="n">
        <v>0</v>
      </c>
      <c r="N2766" t="n">
        <v>0</v>
      </c>
      <c r="O2766" t="n">
        <v>0</v>
      </c>
      <c r="P2766" t="n">
        <v>0</v>
      </c>
      <c r="Q2766" t="n">
        <v>0</v>
      </c>
      <c r="R2766" s="2" t="inlineStr"/>
    </row>
    <row r="2767" ht="15" customHeight="1">
      <c r="A2767" t="inlineStr">
        <is>
          <t>A 30836-2019</t>
        </is>
      </c>
      <c r="B2767" s="1" t="n">
        <v>43636</v>
      </c>
      <c r="C2767" s="1" t="n">
        <v>45227</v>
      </c>
      <c r="D2767" t="inlineStr">
        <is>
          <t>VÄSTRA GÖTALANDS LÄN</t>
        </is>
      </c>
      <c r="E2767" t="inlineStr">
        <is>
          <t>GULLSPÅNG</t>
        </is>
      </c>
      <c r="G2767" t="n">
        <v>5.7</v>
      </c>
      <c r="H2767" t="n">
        <v>0</v>
      </c>
      <c r="I2767" t="n">
        <v>0</v>
      </c>
      <c r="J2767" t="n">
        <v>0</v>
      </c>
      <c r="K2767" t="n">
        <v>0</v>
      </c>
      <c r="L2767" t="n">
        <v>0</v>
      </c>
      <c r="M2767" t="n">
        <v>0</v>
      </c>
      <c r="N2767" t="n">
        <v>0</v>
      </c>
      <c r="O2767" t="n">
        <v>0</v>
      </c>
      <c r="P2767" t="n">
        <v>0</v>
      </c>
      <c r="Q2767" t="n">
        <v>0</v>
      </c>
      <c r="R2767" s="2" t="inlineStr"/>
    </row>
    <row r="2768" ht="15" customHeight="1">
      <c r="A2768" t="inlineStr">
        <is>
          <t>A 31354-2019</t>
        </is>
      </c>
      <c r="B2768" s="1" t="n">
        <v>43636</v>
      </c>
      <c r="C2768" s="1" t="n">
        <v>45227</v>
      </c>
      <c r="D2768" t="inlineStr">
        <is>
          <t>VÄSTRA GÖTALANDS LÄN</t>
        </is>
      </c>
      <c r="E2768" t="inlineStr">
        <is>
          <t>ORUST</t>
        </is>
      </c>
      <c r="G2768" t="n">
        <v>3.2</v>
      </c>
      <c r="H2768" t="n">
        <v>0</v>
      </c>
      <c r="I2768" t="n">
        <v>0</v>
      </c>
      <c r="J2768" t="n">
        <v>0</v>
      </c>
      <c r="K2768" t="n">
        <v>0</v>
      </c>
      <c r="L2768" t="n">
        <v>0</v>
      </c>
      <c r="M2768" t="n">
        <v>0</v>
      </c>
      <c r="N2768" t="n">
        <v>0</v>
      </c>
      <c r="O2768" t="n">
        <v>0</v>
      </c>
      <c r="P2768" t="n">
        <v>0</v>
      </c>
      <c r="Q2768" t="n">
        <v>0</v>
      </c>
      <c r="R2768" s="2" t="inlineStr"/>
    </row>
    <row r="2769" ht="15" customHeight="1">
      <c r="A2769" t="inlineStr">
        <is>
          <t>A 30862-2019</t>
        </is>
      </c>
      <c r="B2769" s="1" t="n">
        <v>43636</v>
      </c>
      <c r="C2769" s="1" t="n">
        <v>45227</v>
      </c>
      <c r="D2769" t="inlineStr">
        <is>
          <t>VÄSTRA GÖTALANDS LÄN</t>
        </is>
      </c>
      <c r="E2769" t="inlineStr">
        <is>
          <t>MARK</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30873-2019</t>
        </is>
      </c>
      <c r="B2770" s="1" t="n">
        <v>43636</v>
      </c>
      <c r="C2770" s="1" t="n">
        <v>45227</v>
      </c>
      <c r="D2770" t="inlineStr">
        <is>
          <t>VÄSTRA GÖTALANDS LÄN</t>
        </is>
      </c>
      <c r="E2770" t="inlineStr">
        <is>
          <t>BORÅS</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30908-2019</t>
        </is>
      </c>
      <c r="B2771" s="1" t="n">
        <v>43636</v>
      </c>
      <c r="C2771" s="1" t="n">
        <v>45227</v>
      </c>
      <c r="D2771" t="inlineStr">
        <is>
          <t>VÄSTRA GÖTALANDS LÄN</t>
        </is>
      </c>
      <c r="E2771" t="inlineStr">
        <is>
          <t>ALINGSÅS</t>
        </is>
      </c>
      <c r="G2771" t="n">
        <v>8.300000000000001</v>
      </c>
      <c r="H2771" t="n">
        <v>0</v>
      </c>
      <c r="I2771" t="n">
        <v>0</v>
      </c>
      <c r="J2771" t="n">
        <v>0</v>
      </c>
      <c r="K2771" t="n">
        <v>0</v>
      </c>
      <c r="L2771" t="n">
        <v>0</v>
      </c>
      <c r="M2771" t="n">
        <v>0</v>
      </c>
      <c r="N2771" t="n">
        <v>0</v>
      </c>
      <c r="O2771" t="n">
        <v>0</v>
      </c>
      <c r="P2771" t="n">
        <v>0</v>
      </c>
      <c r="Q2771" t="n">
        <v>0</v>
      </c>
      <c r="R2771" s="2" t="inlineStr"/>
    </row>
    <row r="2772" ht="15" customHeight="1">
      <c r="A2772" t="inlineStr">
        <is>
          <t>A 30914-2019</t>
        </is>
      </c>
      <c r="B2772" s="1" t="n">
        <v>43636</v>
      </c>
      <c r="C2772" s="1" t="n">
        <v>45227</v>
      </c>
      <c r="D2772" t="inlineStr">
        <is>
          <t>VÄSTRA GÖTALANDS LÄN</t>
        </is>
      </c>
      <c r="E2772" t="inlineStr">
        <is>
          <t>VARA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30949-2019</t>
        </is>
      </c>
      <c r="B2773" s="1" t="n">
        <v>43637</v>
      </c>
      <c r="C2773" s="1" t="n">
        <v>45227</v>
      </c>
      <c r="D2773" t="inlineStr">
        <is>
          <t>VÄSTRA GÖTALANDS LÄN</t>
        </is>
      </c>
      <c r="E2773" t="inlineStr">
        <is>
          <t>BOLLEBYGD</t>
        </is>
      </c>
      <c r="G2773" t="n">
        <v>4.9</v>
      </c>
      <c r="H2773" t="n">
        <v>0</v>
      </c>
      <c r="I2773" t="n">
        <v>0</v>
      </c>
      <c r="J2773" t="n">
        <v>0</v>
      </c>
      <c r="K2773" t="n">
        <v>0</v>
      </c>
      <c r="L2773" t="n">
        <v>0</v>
      </c>
      <c r="M2773" t="n">
        <v>0</v>
      </c>
      <c r="N2773" t="n">
        <v>0</v>
      </c>
      <c r="O2773" t="n">
        <v>0</v>
      </c>
      <c r="P2773" t="n">
        <v>0</v>
      </c>
      <c r="Q2773" t="n">
        <v>0</v>
      </c>
      <c r="R2773" s="2" t="inlineStr"/>
    </row>
    <row r="2774" ht="15" customHeight="1">
      <c r="A2774" t="inlineStr">
        <is>
          <t>A 31624-2019</t>
        </is>
      </c>
      <c r="B2774" s="1" t="n">
        <v>43640</v>
      </c>
      <c r="C2774" s="1" t="n">
        <v>45227</v>
      </c>
      <c r="D2774" t="inlineStr">
        <is>
          <t>VÄSTRA GÖTALANDS LÄN</t>
        </is>
      </c>
      <c r="E2774" t="inlineStr">
        <is>
          <t>BORÅS</t>
        </is>
      </c>
      <c r="F2774" t="inlineStr">
        <is>
          <t>Kommuner</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31039-2019</t>
        </is>
      </c>
      <c r="B2775" s="1" t="n">
        <v>43640</v>
      </c>
      <c r="C2775" s="1" t="n">
        <v>45227</v>
      </c>
      <c r="D2775" t="inlineStr">
        <is>
          <t>VÄSTRA GÖTALANDS LÄN</t>
        </is>
      </c>
      <c r="E2775" t="inlineStr">
        <is>
          <t>FÄRGELANDA</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31073-2019</t>
        </is>
      </c>
      <c r="B2776" s="1" t="n">
        <v>43640</v>
      </c>
      <c r="C2776" s="1" t="n">
        <v>45227</v>
      </c>
      <c r="D2776" t="inlineStr">
        <is>
          <t>VÄSTRA GÖTALANDS LÄN</t>
        </is>
      </c>
      <c r="E2776" t="inlineStr">
        <is>
          <t>MARIESTAD</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31216-2019</t>
        </is>
      </c>
      <c r="B2777" s="1" t="n">
        <v>43640</v>
      </c>
      <c r="C2777" s="1" t="n">
        <v>45227</v>
      </c>
      <c r="D2777" t="inlineStr">
        <is>
          <t>VÄSTRA GÖTALANDS LÄN</t>
        </is>
      </c>
      <c r="E2777" t="inlineStr">
        <is>
          <t>UDDEVALLA</t>
        </is>
      </c>
      <c r="G2777" t="n">
        <v>5.9</v>
      </c>
      <c r="H2777" t="n">
        <v>0</v>
      </c>
      <c r="I2777" t="n">
        <v>0</v>
      </c>
      <c r="J2777" t="n">
        <v>0</v>
      </c>
      <c r="K2777" t="n">
        <v>0</v>
      </c>
      <c r="L2777" t="n">
        <v>0</v>
      </c>
      <c r="M2777" t="n">
        <v>0</v>
      </c>
      <c r="N2777" t="n">
        <v>0</v>
      </c>
      <c r="O2777" t="n">
        <v>0</v>
      </c>
      <c r="P2777" t="n">
        <v>0</v>
      </c>
      <c r="Q2777" t="n">
        <v>0</v>
      </c>
      <c r="R2777" s="2" t="inlineStr"/>
    </row>
    <row r="2778" ht="15" customHeight="1">
      <c r="A2778" t="inlineStr">
        <is>
          <t>A 31085-2019</t>
        </is>
      </c>
      <c r="B2778" s="1" t="n">
        <v>43640</v>
      </c>
      <c r="C2778" s="1" t="n">
        <v>45227</v>
      </c>
      <c r="D2778" t="inlineStr">
        <is>
          <t>VÄSTRA GÖTALANDS LÄN</t>
        </is>
      </c>
      <c r="E2778" t="inlineStr">
        <is>
          <t>FALKÖPING</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31266-2019</t>
        </is>
      </c>
      <c r="B2779" s="1" t="n">
        <v>43640</v>
      </c>
      <c r="C2779" s="1" t="n">
        <v>45227</v>
      </c>
      <c r="D2779" t="inlineStr">
        <is>
          <t>VÄSTRA GÖTALANDS LÄN</t>
        </is>
      </c>
      <c r="E2779" t="inlineStr">
        <is>
          <t>GRÄSTORP</t>
        </is>
      </c>
      <c r="G2779" t="n">
        <v>12.1</v>
      </c>
      <c r="H2779" t="n">
        <v>0</v>
      </c>
      <c r="I2779" t="n">
        <v>0</v>
      </c>
      <c r="J2779" t="n">
        <v>0</v>
      </c>
      <c r="K2779" t="n">
        <v>0</v>
      </c>
      <c r="L2779" t="n">
        <v>0</v>
      </c>
      <c r="M2779" t="n">
        <v>0</v>
      </c>
      <c r="N2779" t="n">
        <v>0</v>
      </c>
      <c r="O2779" t="n">
        <v>0</v>
      </c>
      <c r="P2779" t="n">
        <v>0</v>
      </c>
      <c r="Q2779" t="n">
        <v>0</v>
      </c>
      <c r="R2779" s="2" t="inlineStr"/>
    </row>
    <row r="2780" ht="15" customHeight="1">
      <c r="A2780" t="inlineStr">
        <is>
          <t>A 31497-2019</t>
        </is>
      </c>
      <c r="B2780" s="1" t="n">
        <v>43641</v>
      </c>
      <c r="C2780" s="1" t="n">
        <v>45227</v>
      </c>
      <c r="D2780" t="inlineStr">
        <is>
          <t>VÄSTRA GÖTALANDS LÄN</t>
        </is>
      </c>
      <c r="E2780" t="inlineStr">
        <is>
          <t>MELLERUD</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31875-2019</t>
        </is>
      </c>
      <c r="B2781" s="1" t="n">
        <v>43641</v>
      </c>
      <c r="C2781" s="1" t="n">
        <v>45227</v>
      </c>
      <c r="D2781" t="inlineStr">
        <is>
          <t>VÄSTRA GÖTALANDS LÄN</t>
        </is>
      </c>
      <c r="E2781" t="inlineStr">
        <is>
          <t>BORÅS</t>
        </is>
      </c>
      <c r="F2781" t="inlineStr">
        <is>
          <t>Kommuner</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31920-2019</t>
        </is>
      </c>
      <c r="B2782" s="1" t="n">
        <v>43641</v>
      </c>
      <c r="C2782" s="1" t="n">
        <v>45227</v>
      </c>
      <c r="D2782" t="inlineStr">
        <is>
          <t>VÄSTRA GÖTALANDS LÄN</t>
        </is>
      </c>
      <c r="E2782" t="inlineStr">
        <is>
          <t>MUNKEDAL</t>
        </is>
      </c>
      <c r="F2782" t="inlineStr">
        <is>
          <t>Kyrkan</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31320-2019</t>
        </is>
      </c>
      <c r="B2783" s="1" t="n">
        <v>43641</v>
      </c>
      <c r="C2783" s="1" t="n">
        <v>45227</v>
      </c>
      <c r="D2783" t="inlineStr">
        <is>
          <t>VÄSTRA GÖTALANDS LÄN</t>
        </is>
      </c>
      <c r="E2783" t="inlineStr">
        <is>
          <t>TIDAHOLM</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31361-2019</t>
        </is>
      </c>
      <c r="B2784" s="1" t="n">
        <v>43641</v>
      </c>
      <c r="C2784" s="1" t="n">
        <v>45227</v>
      </c>
      <c r="D2784" t="inlineStr">
        <is>
          <t>VÄSTRA GÖTALANDS LÄN</t>
        </is>
      </c>
      <c r="E2784" t="inlineStr">
        <is>
          <t>ESSUNGA</t>
        </is>
      </c>
      <c r="G2784" t="n">
        <v>4.7</v>
      </c>
      <c r="H2784" t="n">
        <v>0</v>
      </c>
      <c r="I2784" t="n">
        <v>0</v>
      </c>
      <c r="J2784" t="n">
        <v>0</v>
      </c>
      <c r="K2784" t="n">
        <v>0</v>
      </c>
      <c r="L2784" t="n">
        <v>0</v>
      </c>
      <c r="M2784" t="n">
        <v>0</v>
      </c>
      <c r="N2784" t="n">
        <v>0</v>
      </c>
      <c r="O2784" t="n">
        <v>0</v>
      </c>
      <c r="P2784" t="n">
        <v>0</v>
      </c>
      <c r="Q2784" t="n">
        <v>0</v>
      </c>
      <c r="R2784" s="2" t="inlineStr"/>
    </row>
    <row r="2785" ht="15" customHeight="1">
      <c r="A2785" t="inlineStr">
        <is>
          <t>A 31873-2019</t>
        </is>
      </c>
      <c r="B2785" s="1" t="n">
        <v>43641</v>
      </c>
      <c r="C2785" s="1" t="n">
        <v>45227</v>
      </c>
      <c r="D2785" t="inlineStr">
        <is>
          <t>VÄSTRA GÖTALANDS LÄN</t>
        </is>
      </c>
      <c r="E2785" t="inlineStr">
        <is>
          <t>BORÅS</t>
        </is>
      </c>
      <c r="F2785" t="inlineStr">
        <is>
          <t>Kommuner</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31865-2019</t>
        </is>
      </c>
      <c r="B2786" s="1" t="n">
        <v>43641</v>
      </c>
      <c r="C2786" s="1" t="n">
        <v>45227</v>
      </c>
      <c r="D2786" t="inlineStr">
        <is>
          <t>VÄSTRA GÖTALANDS LÄN</t>
        </is>
      </c>
      <c r="E2786" t="inlineStr">
        <is>
          <t>BORÅS</t>
        </is>
      </c>
      <c r="F2786" t="inlineStr">
        <is>
          <t>Kommuner</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31392-2019</t>
        </is>
      </c>
      <c r="B2787" s="1" t="n">
        <v>43641</v>
      </c>
      <c r="C2787" s="1" t="n">
        <v>45227</v>
      </c>
      <c r="D2787" t="inlineStr">
        <is>
          <t>VÄSTRA GÖTALANDS LÄN</t>
        </is>
      </c>
      <c r="E2787" t="inlineStr">
        <is>
          <t>HÄRRYDA</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31870-2019</t>
        </is>
      </c>
      <c r="B2788" s="1" t="n">
        <v>43641</v>
      </c>
      <c r="C2788" s="1" t="n">
        <v>45227</v>
      </c>
      <c r="D2788" t="inlineStr">
        <is>
          <t>VÄSTRA GÖTALANDS LÄN</t>
        </is>
      </c>
      <c r="E2788" t="inlineStr">
        <is>
          <t>TRANEMO</t>
        </is>
      </c>
      <c r="F2788" t="inlineStr">
        <is>
          <t>Kommuner</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31682-2019</t>
        </is>
      </c>
      <c r="B2789" s="1" t="n">
        <v>43642</v>
      </c>
      <c r="C2789" s="1" t="n">
        <v>45227</v>
      </c>
      <c r="D2789" t="inlineStr">
        <is>
          <t>VÄSTRA GÖTALANDS LÄN</t>
        </is>
      </c>
      <c r="E2789" t="inlineStr">
        <is>
          <t>MARIESTAD</t>
        </is>
      </c>
      <c r="F2789" t="inlineStr">
        <is>
          <t>Kyrkan</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31801-2019</t>
        </is>
      </c>
      <c r="B2790" s="1" t="n">
        <v>43642</v>
      </c>
      <c r="C2790" s="1" t="n">
        <v>45227</v>
      </c>
      <c r="D2790" t="inlineStr">
        <is>
          <t>VÄSTRA GÖTALANDS LÄN</t>
        </is>
      </c>
      <c r="E2790" t="inlineStr">
        <is>
          <t>TIDAHOLM</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31655-2019</t>
        </is>
      </c>
      <c r="B2791" s="1" t="n">
        <v>43642</v>
      </c>
      <c r="C2791" s="1" t="n">
        <v>45227</v>
      </c>
      <c r="D2791" t="inlineStr">
        <is>
          <t>VÄSTRA GÖTALANDS LÄN</t>
        </is>
      </c>
      <c r="E2791" t="inlineStr">
        <is>
          <t>ORUST</t>
        </is>
      </c>
      <c r="G2791" t="n">
        <v>1.9</v>
      </c>
      <c r="H2791" t="n">
        <v>0</v>
      </c>
      <c r="I2791" t="n">
        <v>0</v>
      </c>
      <c r="J2791" t="n">
        <v>0</v>
      </c>
      <c r="K2791" t="n">
        <v>0</v>
      </c>
      <c r="L2791" t="n">
        <v>0</v>
      </c>
      <c r="M2791" t="n">
        <v>0</v>
      </c>
      <c r="N2791" t="n">
        <v>0</v>
      </c>
      <c r="O2791" t="n">
        <v>0</v>
      </c>
      <c r="P2791" t="n">
        <v>0</v>
      </c>
      <c r="Q2791" t="n">
        <v>0</v>
      </c>
      <c r="R2791" s="2" t="inlineStr"/>
      <c r="U2791">
        <f>HYPERLINK("https://klasma.github.io/Logging_1421/knärot/A 31655-2019 karta knärot.png", "A 31655-2019")</f>
        <v/>
      </c>
      <c r="V2791">
        <f>HYPERLINK("https://klasma.github.io/Logging_1421/klagomål/A 31655-2019 FSC-klagomål.docx", "A 31655-2019")</f>
        <v/>
      </c>
      <c r="W2791">
        <f>HYPERLINK("https://klasma.github.io/Logging_1421/klagomålsmail/A 31655-2019 FSC-klagomål mail.docx", "A 31655-2019")</f>
        <v/>
      </c>
      <c r="X2791">
        <f>HYPERLINK("https://klasma.github.io/Logging_1421/tillsyn/A 31655-2019 tillsynsbegäran.docx", "A 31655-2019")</f>
        <v/>
      </c>
      <c r="Y2791">
        <f>HYPERLINK("https://klasma.github.io/Logging_1421/tillsynsmail/A 31655-2019 tillsynsbegäran mail.docx", "A 31655-2019")</f>
        <v/>
      </c>
    </row>
    <row r="2792" ht="15" customHeight="1">
      <c r="A2792" t="inlineStr">
        <is>
          <t>A 31753-2019</t>
        </is>
      </c>
      <c r="B2792" s="1" t="n">
        <v>43642</v>
      </c>
      <c r="C2792" s="1" t="n">
        <v>45227</v>
      </c>
      <c r="D2792" t="inlineStr">
        <is>
          <t>VÄSTRA GÖTALANDS LÄN</t>
        </is>
      </c>
      <c r="E2792" t="inlineStr">
        <is>
          <t>BOLLEBYGD</t>
        </is>
      </c>
      <c r="G2792" t="n">
        <v>5.8</v>
      </c>
      <c r="H2792" t="n">
        <v>0</v>
      </c>
      <c r="I2792" t="n">
        <v>0</v>
      </c>
      <c r="J2792" t="n">
        <v>0</v>
      </c>
      <c r="K2792" t="n">
        <v>0</v>
      </c>
      <c r="L2792" t="n">
        <v>0</v>
      </c>
      <c r="M2792" t="n">
        <v>0</v>
      </c>
      <c r="N2792" t="n">
        <v>0</v>
      </c>
      <c r="O2792" t="n">
        <v>0</v>
      </c>
      <c r="P2792" t="n">
        <v>0</v>
      </c>
      <c r="Q2792" t="n">
        <v>0</v>
      </c>
      <c r="R2792" s="2" t="inlineStr"/>
    </row>
    <row r="2793" ht="15" customHeight="1">
      <c r="A2793" t="inlineStr">
        <is>
          <t>A 32025-2019</t>
        </is>
      </c>
      <c r="B2793" s="1" t="n">
        <v>43643</v>
      </c>
      <c r="C2793" s="1" t="n">
        <v>45227</v>
      </c>
      <c r="D2793" t="inlineStr">
        <is>
          <t>VÄSTRA GÖTALANDS LÄN</t>
        </is>
      </c>
      <c r="E2793" t="inlineStr">
        <is>
          <t>BORÅS</t>
        </is>
      </c>
      <c r="G2793" t="n">
        <v>8.300000000000001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32005-2019</t>
        </is>
      </c>
      <c r="B2794" s="1" t="n">
        <v>43643</v>
      </c>
      <c r="C2794" s="1" t="n">
        <v>45227</v>
      </c>
      <c r="D2794" t="inlineStr">
        <is>
          <t>VÄSTRA GÖTALANDS LÄN</t>
        </is>
      </c>
      <c r="E2794" t="inlineStr">
        <is>
          <t>FALKÖPING</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31918-2019</t>
        </is>
      </c>
      <c r="B2795" s="1" t="n">
        <v>43643</v>
      </c>
      <c r="C2795" s="1" t="n">
        <v>45227</v>
      </c>
      <c r="D2795" t="inlineStr">
        <is>
          <t>VÄSTRA GÖTALANDS LÄN</t>
        </is>
      </c>
      <c r="E2795" t="inlineStr">
        <is>
          <t>TANUM</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31950-2019</t>
        </is>
      </c>
      <c r="B2796" s="1" t="n">
        <v>43643</v>
      </c>
      <c r="C2796" s="1" t="n">
        <v>45227</v>
      </c>
      <c r="D2796" t="inlineStr">
        <is>
          <t>VÄSTRA GÖTALANDS LÄN</t>
        </is>
      </c>
      <c r="E2796" t="inlineStr">
        <is>
          <t>DALS-ED</t>
        </is>
      </c>
      <c r="G2796" t="n">
        <v>9.6</v>
      </c>
      <c r="H2796" t="n">
        <v>0</v>
      </c>
      <c r="I2796" t="n">
        <v>0</v>
      </c>
      <c r="J2796" t="n">
        <v>0</v>
      </c>
      <c r="K2796" t="n">
        <v>0</v>
      </c>
      <c r="L2796" t="n">
        <v>0</v>
      </c>
      <c r="M2796" t="n">
        <v>0</v>
      </c>
      <c r="N2796" t="n">
        <v>0</v>
      </c>
      <c r="O2796" t="n">
        <v>0</v>
      </c>
      <c r="P2796" t="n">
        <v>0</v>
      </c>
      <c r="Q2796" t="n">
        <v>0</v>
      </c>
      <c r="R2796" s="2" t="inlineStr"/>
    </row>
    <row r="2797" ht="15" customHeight="1">
      <c r="A2797" t="inlineStr">
        <is>
          <t>A 32022-2019</t>
        </is>
      </c>
      <c r="B2797" s="1" t="n">
        <v>43643</v>
      </c>
      <c r="C2797" s="1" t="n">
        <v>45227</v>
      </c>
      <c r="D2797" t="inlineStr">
        <is>
          <t>VÄSTRA GÖTALANDS LÄN</t>
        </is>
      </c>
      <c r="E2797" t="inlineStr">
        <is>
          <t>SKÖVDE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32653-2019</t>
        </is>
      </c>
      <c r="B2798" s="1" t="n">
        <v>43643</v>
      </c>
      <c r="C2798" s="1" t="n">
        <v>45227</v>
      </c>
      <c r="D2798" t="inlineStr">
        <is>
          <t>VÄSTRA GÖTALANDS LÄN</t>
        </is>
      </c>
      <c r="E2798" t="inlineStr">
        <is>
          <t>ÅMÅL</t>
        </is>
      </c>
      <c r="G2798" t="n">
        <v>30.2</v>
      </c>
      <c r="H2798" t="n">
        <v>0</v>
      </c>
      <c r="I2798" t="n">
        <v>0</v>
      </c>
      <c r="J2798" t="n">
        <v>0</v>
      </c>
      <c r="K2798" t="n">
        <v>0</v>
      </c>
      <c r="L2798" t="n">
        <v>0</v>
      </c>
      <c r="M2798" t="n">
        <v>0</v>
      </c>
      <c r="N2798" t="n">
        <v>0</v>
      </c>
      <c r="O2798" t="n">
        <v>0</v>
      </c>
      <c r="P2798" t="n">
        <v>0</v>
      </c>
      <c r="Q2798" t="n">
        <v>0</v>
      </c>
      <c r="R2798" s="2" t="inlineStr"/>
    </row>
    <row r="2799" ht="15" customHeight="1">
      <c r="A2799" t="inlineStr">
        <is>
          <t>A 32279-2019</t>
        </is>
      </c>
      <c r="B2799" s="1" t="n">
        <v>43644</v>
      </c>
      <c r="C2799" s="1" t="n">
        <v>45227</v>
      </c>
      <c r="D2799" t="inlineStr">
        <is>
          <t>VÄSTRA GÖTALANDS LÄN</t>
        </is>
      </c>
      <c r="E2799" t="inlineStr">
        <is>
          <t>SVENLJUNGA</t>
        </is>
      </c>
      <c r="G2799" t="n">
        <v>6.5</v>
      </c>
      <c r="H2799" t="n">
        <v>0</v>
      </c>
      <c r="I2799" t="n">
        <v>0</v>
      </c>
      <c r="J2799" t="n">
        <v>0</v>
      </c>
      <c r="K2799" t="n">
        <v>0</v>
      </c>
      <c r="L2799" t="n">
        <v>0</v>
      </c>
      <c r="M2799" t="n">
        <v>0</v>
      </c>
      <c r="N2799" t="n">
        <v>0</v>
      </c>
      <c r="O2799" t="n">
        <v>0</v>
      </c>
      <c r="P2799" t="n">
        <v>0</v>
      </c>
      <c r="Q2799" t="n">
        <v>0</v>
      </c>
      <c r="R2799" s="2" t="inlineStr"/>
    </row>
    <row r="2800" ht="15" customHeight="1">
      <c r="A2800" t="inlineStr">
        <is>
          <t>A 32345-2019</t>
        </is>
      </c>
      <c r="B2800" s="1" t="n">
        <v>43644</v>
      </c>
      <c r="C2800" s="1" t="n">
        <v>45227</v>
      </c>
      <c r="D2800" t="inlineStr">
        <is>
          <t>VÄSTRA GÖTALANDS LÄN</t>
        </is>
      </c>
      <c r="E2800" t="inlineStr">
        <is>
          <t>DALS-ED</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32377-2019</t>
        </is>
      </c>
      <c r="B2801" s="1" t="n">
        <v>43644</v>
      </c>
      <c r="C2801" s="1" t="n">
        <v>45227</v>
      </c>
      <c r="D2801" t="inlineStr">
        <is>
          <t>VÄSTRA GÖTALANDS LÄN</t>
        </is>
      </c>
      <c r="E2801" t="inlineStr">
        <is>
          <t>MARIESTAD</t>
        </is>
      </c>
      <c r="G2801" t="n">
        <v>3.2</v>
      </c>
      <c r="H2801" t="n">
        <v>0</v>
      </c>
      <c r="I2801" t="n">
        <v>0</v>
      </c>
      <c r="J2801" t="n">
        <v>0</v>
      </c>
      <c r="K2801" t="n">
        <v>0</v>
      </c>
      <c r="L2801" t="n">
        <v>0</v>
      </c>
      <c r="M2801" t="n">
        <v>0</v>
      </c>
      <c r="N2801" t="n">
        <v>0</v>
      </c>
      <c r="O2801" t="n">
        <v>0</v>
      </c>
      <c r="P2801" t="n">
        <v>0</v>
      </c>
      <c r="Q2801" t="n">
        <v>0</v>
      </c>
      <c r="R2801" s="2" t="inlineStr"/>
    </row>
    <row r="2802" ht="15" customHeight="1">
      <c r="A2802" t="inlineStr">
        <is>
          <t>A 32290-2019</t>
        </is>
      </c>
      <c r="B2802" s="1" t="n">
        <v>43644</v>
      </c>
      <c r="C2802" s="1" t="n">
        <v>45227</v>
      </c>
      <c r="D2802" t="inlineStr">
        <is>
          <t>VÄSTRA GÖTALANDS LÄN</t>
        </is>
      </c>
      <c r="E2802" t="inlineStr">
        <is>
          <t>SVENLJUNGA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32302-2019</t>
        </is>
      </c>
      <c r="B2803" s="1" t="n">
        <v>43644</v>
      </c>
      <c r="C2803" s="1" t="n">
        <v>45227</v>
      </c>
      <c r="D2803" t="inlineStr">
        <is>
          <t>VÄSTRA GÖTALANDS LÄN</t>
        </is>
      </c>
      <c r="E2803" t="inlineStr">
        <is>
          <t>SVENLJUNGA</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32472-2019</t>
        </is>
      </c>
      <c r="B2804" s="1" t="n">
        <v>43644</v>
      </c>
      <c r="C2804" s="1" t="n">
        <v>45227</v>
      </c>
      <c r="D2804" t="inlineStr">
        <is>
          <t>VÄSTRA GÖTALANDS LÄN</t>
        </is>
      </c>
      <c r="E2804" t="inlineStr">
        <is>
          <t>VARA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33138-2019</t>
        </is>
      </c>
      <c r="B2805" s="1" t="n">
        <v>43644</v>
      </c>
      <c r="C2805" s="1" t="n">
        <v>45227</v>
      </c>
      <c r="D2805" t="inlineStr">
        <is>
          <t>VÄSTRA GÖTALANDS LÄN</t>
        </is>
      </c>
      <c r="E2805" t="inlineStr">
        <is>
          <t>TÖREBODA</t>
        </is>
      </c>
      <c r="G2805" t="n">
        <v>7.8</v>
      </c>
      <c r="H2805" t="n">
        <v>0</v>
      </c>
      <c r="I2805" t="n">
        <v>0</v>
      </c>
      <c r="J2805" t="n">
        <v>0</v>
      </c>
      <c r="K2805" t="n">
        <v>0</v>
      </c>
      <c r="L2805" t="n">
        <v>0</v>
      </c>
      <c r="M2805" t="n">
        <v>0</v>
      </c>
      <c r="N2805" t="n">
        <v>0</v>
      </c>
      <c r="O2805" t="n">
        <v>0</v>
      </c>
      <c r="P2805" t="n">
        <v>0</v>
      </c>
      <c r="Q2805" t="n">
        <v>0</v>
      </c>
      <c r="R2805" s="2" t="inlineStr"/>
    </row>
    <row r="2806" ht="15" customHeight="1">
      <c r="A2806" t="inlineStr">
        <is>
          <t>A 32333-2019</t>
        </is>
      </c>
      <c r="B2806" s="1" t="n">
        <v>43644</v>
      </c>
      <c r="C2806" s="1" t="n">
        <v>45227</v>
      </c>
      <c r="D2806" t="inlineStr">
        <is>
          <t>VÄSTRA GÖTALANDS LÄN</t>
        </is>
      </c>
      <c r="E2806" t="inlineStr">
        <is>
          <t>MARIESTAD</t>
        </is>
      </c>
      <c r="G2806" t="n">
        <v>2.7</v>
      </c>
      <c r="H2806" t="n">
        <v>0</v>
      </c>
      <c r="I2806" t="n">
        <v>0</v>
      </c>
      <c r="J2806" t="n">
        <v>0</v>
      </c>
      <c r="K2806" t="n">
        <v>0</v>
      </c>
      <c r="L2806" t="n">
        <v>0</v>
      </c>
      <c r="M2806" t="n">
        <v>0</v>
      </c>
      <c r="N2806" t="n">
        <v>0</v>
      </c>
      <c r="O2806" t="n">
        <v>0</v>
      </c>
      <c r="P2806" t="n">
        <v>0</v>
      </c>
      <c r="Q2806" t="n">
        <v>0</v>
      </c>
      <c r="R2806" s="2" t="inlineStr"/>
    </row>
    <row r="2807" ht="15" customHeight="1">
      <c r="A2807" t="inlineStr">
        <is>
          <t>A 32462-2019</t>
        </is>
      </c>
      <c r="B2807" s="1" t="n">
        <v>43644</v>
      </c>
      <c r="C2807" s="1" t="n">
        <v>45227</v>
      </c>
      <c r="D2807" t="inlineStr">
        <is>
          <t>VÄSTRA GÖTALANDS LÄN</t>
        </is>
      </c>
      <c r="E2807" t="inlineStr">
        <is>
          <t>MARIESTAD</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33311-2019</t>
        </is>
      </c>
      <c r="B2808" s="1" t="n">
        <v>43644</v>
      </c>
      <c r="C2808" s="1" t="n">
        <v>45227</v>
      </c>
      <c r="D2808" t="inlineStr">
        <is>
          <t>VÄSTRA GÖTALANDS LÄN</t>
        </is>
      </c>
      <c r="E2808" t="inlineStr">
        <is>
          <t>KUNGÄLV</t>
        </is>
      </c>
      <c r="G2808" t="n">
        <v>13.4</v>
      </c>
      <c r="H2808" t="n">
        <v>0</v>
      </c>
      <c r="I2808" t="n">
        <v>0</v>
      </c>
      <c r="J2808" t="n">
        <v>0</v>
      </c>
      <c r="K2808" t="n">
        <v>0</v>
      </c>
      <c r="L2808" t="n">
        <v>0</v>
      </c>
      <c r="M2808" t="n">
        <v>0</v>
      </c>
      <c r="N2808" t="n">
        <v>0</v>
      </c>
      <c r="O2808" t="n">
        <v>0</v>
      </c>
      <c r="P2808" t="n">
        <v>0</v>
      </c>
      <c r="Q2808" t="n">
        <v>0</v>
      </c>
      <c r="R2808" s="2" t="inlineStr"/>
    </row>
    <row r="2809" ht="15" customHeight="1">
      <c r="A2809" t="inlineStr">
        <is>
          <t>A 32269-2019</t>
        </is>
      </c>
      <c r="B2809" s="1" t="n">
        <v>43644</v>
      </c>
      <c r="C2809" s="1" t="n">
        <v>45227</v>
      </c>
      <c r="D2809" t="inlineStr">
        <is>
          <t>VÄSTRA GÖTALANDS LÄN</t>
        </is>
      </c>
      <c r="E2809" t="inlineStr">
        <is>
          <t>SVENLJUNGA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32446-2019</t>
        </is>
      </c>
      <c r="B2810" s="1" t="n">
        <v>43644</v>
      </c>
      <c r="C2810" s="1" t="n">
        <v>45227</v>
      </c>
      <c r="D2810" t="inlineStr">
        <is>
          <t>VÄSTRA GÖTALANDS LÄN</t>
        </is>
      </c>
      <c r="E2810" t="inlineStr">
        <is>
          <t>MARK</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32464-2019</t>
        </is>
      </c>
      <c r="B2811" s="1" t="n">
        <v>43644</v>
      </c>
      <c r="C2811" s="1" t="n">
        <v>45227</v>
      </c>
      <c r="D2811" t="inlineStr">
        <is>
          <t>VÄSTRA GÖTALANDS LÄN</t>
        </is>
      </c>
      <c r="E2811" t="inlineStr">
        <is>
          <t>MARIESTAD</t>
        </is>
      </c>
      <c r="G2811" t="n">
        <v>9.699999999999999</v>
      </c>
      <c r="H2811" t="n">
        <v>0</v>
      </c>
      <c r="I2811" t="n">
        <v>0</v>
      </c>
      <c r="J2811" t="n">
        <v>0</v>
      </c>
      <c r="K2811" t="n">
        <v>0</v>
      </c>
      <c r="L2811" t="n">
        <v>0</v>
      </c>
      <c r="M2811" t="n">
        <v>0</v>
      </c>
      <c r="N2811" t="n">
        <v>0</v>
      </c>
      <c r="O2811" t="n">
        <v>0</v>
      </c>
      <c r="P2811" t="n">
        <v>0</v>
      </c>
      <c r="Q2811" t="n">
        <v>0</v>
      </c>
      <c r="R2811" s="2" t="inlineStr"/>
    </row>
    <row r="2812" ht="15" customHeight="1">
      <c r="A2812" t="inlineStr">
        <is>
          <t>A 33149-2019</t>
        </is>
      </c>
      <c r="B2812" s="1" t="n">
        <v>43644</v>
      </c>
      <c r="C2812" s="1" t="n">
        <v>45227</v>
      </c>
      <c r="D2812" t="inlineStr">
        <is>
          <t>VÄSTRA GÖTALANDS LÄN</t>
        </is>
      </c>
      <c r="E2812" t="inlineStr">
        <is>
          <t>KARLSBORG</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32535-2019</t>
        </is>
      </c>
      <c r="B2813" s="1" t="n">
        <v>43646</v>
      </c>
      <c r="C2813" s="1" t="n">
        <v>45227</v>
      </c>
      <c r="D2813" t="inlineStr">
        <is>
          <t>VÄSTRA GÖTALANDS LÄN</t>
        </is>
      </c>
      <c r="E2813" t="inlineStr">
        <is>
          <t>BORÅS</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32534-2019</t>
        </is>
      </c>
      <c r="B2814" s="1" t="n">
        <v>43646</v>
      </c>
      <c r="C2814" s="1" t="n">
        <v>45227</v>
      </c>
      <c r="D2814" t="inlineStr">
        <is>
          <t>VÄSTRA GÖTALANDS LÄN</t>
        </is>
      </c>
      <c r="E2814" t="inlineStr">
        <is>
          <t>BENGTSFORS</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32545-2019</t>
        </is>
      </c>
      <c r="B2815" s="1" t="n">
        <v>43647</v>
      </c>
      <c r="C2815" s="1" t="n">
        <v>45227</v>
      </c>
      <c r="D2815" t="inlineStr">
        <is>
          <t>VÄSTRA GÖTALANDS LÄN</t>
        </is>
      </c>
      <c r="E2815" t="inlineStr">
        <is>
          <t>BENGTSFORS</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32566-2019</t>
        </is>
      </c>
      <c r="B2816" s="1" t="n">
        <v>43647</v>
      </c>
      <c r="C2816" s="1" t="n">
        <v>45227</v>
      </c>
      <c r="D2816" t="inlineStr">
        <is>
          <t>VÄSTRA GÖTALANDS LÄN</t>
        </is>
      </c>
      <c r="E2816" t="inlineStr">
        <is>
          <t>STRÖMSTAD</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32649-2019</t>
        </is>
      </c>
      <c r="B2817" s="1" t="n">
        <v>43647</v>
      </c>
      <c r="C2817" s="1" t="n">
        <v>45227</v>
      </c>
      <c r="D2817" t="inlineStr">
        <is>
          <t>VÄSTRA GÖTALANDS LÄN</t>
        </is>
      </c>
      <c r="E2817" t="inlineStr">
        <is>
          <t>MARIESTAD</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32564-2019</t>
        </is>
      </c>
      <c r="B2818" s="1" t="n">
        <v>43647</v>
      </c>
      <c r="C2818" s="1" t="n">
        <v>45227</v>
      </c>
      <c r="D2818" t="inlineStr">
        <is>
          <t>VÄSTRA GÖTALANDS LÄN</t>
        </is>
      </c>
      <c r="E2818" t="inlineStr">
        <is>
          <t>STRÖMSTAD</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32709-2019</t>
        </is>
      </c>
      <c r="B2819" s="1" t="n">
        <v>43647</v>
      </c>
      <c r="C2819" s="1" t="n">
        <v>45227</v>
      </c>
      <c r="D2819" t="inlineStr">
        <is>
          <t>VÄSTRA GÖTALANDS LÄN</t>
        </is>
      </c>
      <c r="E2819" t="inlineStr">
        <is>
          <t>LERUM</t>
        </is>
      </c>
      <c r="G2819" t="n">
        <v>7.6</v>
      </c>
      <c r="H2819" t="n">
        <v>0</v>
      </c>
      <c r="I2819" t="n">
        <v>0</v>
      </c>
      <c r="J2819" t="n">
        <v>0</v>
      </c>
      <c r="K2819" t="n">
        <v>0</v>
      </c>
      <c r="L2819" t="n">
        <v>0</v>
      </c>
      <c r="M2819" t="n">
        <v>0</v>
      </c>
      <c r="N2819" t="n">
        <v>0</v>
      </c>
      <c r="O2819" t="n">
        <v>0</v>
      </c>
      <c r="P2819" t="n">
        <v>0</v>
      </c>
      <c r="Q2819" t="n">
        <v>0</v>
      </c>
      <c r="R2819" s="2" t="inlineStr"/>
    </row>
    <row r="2820" ht="15" customHeight="1">
      <c r="A2820" t="inlineStr">
        <is>
          <t>A 34414-2019</t>
        </is>
      </c>
      <c r="B2820" s="1" t="n">
        <v>43647</v>
      </c>
      <c r="C2820" s="1" t="n">
        <v>45227</v>
      </c>
      <c r="D2820" t="inlineStr">
        <is>
          <t>VÄSTRA GÖTALANDS LÄN</t>
        </is>
      </c>
      <c r="E2820" t="inlineStr">
        <is>
          <t>SVENLJUNGA</t>
        </is>
      </c>
      <c r="F2820" t="inlineStr">
        <is>
          <t>Kommuner</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32601-2019</t>
        </is>
      </c>
      <c r="B2821" s="1" t="n">
        <v>43647</v>
      </c>
      <c r="C2821" s="1" t="n">
        <v>45227</v>
      </c>
      <c r="D2821" t="inlineStr">
        <is>
          <t>VÄSTRA GÖTALANDS LÄN</t>
        </is>
      </c>
      <c r="E2821" t="inlineStr">
        <is>
          <t>MARIESTAD</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34379-2019</t>
        </is>
      </c>
      <c r="B2822" s="1" t="n">
        <v>43647</v>
      </c>
      <c r="C2822" s="1" t="n">
        <v>45227</v>
      </c>
      <c r="D2822" t="inlineStr">
        <is>
          <t>VÄSTRA GÖTALANDS LÄN</t>
        </is>
      </c>
      <c r="E2822" t="inlineStr">
        <is>
          <t>SVENLJUNGA</t>
        </is>
      </c>
      <c r="F2822" t="inlineStr">
        <is>
          <t>Kommuner</t>
        </is>
      </c>
      <c r="G2822" t="n">
        <v>6.5</v>
      </c>
      <c r="H2822" t="n">
        <v>0</v>
      </c>
      <c r="I2822" t="n">
        <v>0</v>
      </c>
      <c r="J2822" t="n">
        <v>0</v>
      </c>
      <c r="K2822" t="n">
        <v>0</v>
      </c>
      <c r="L2822" t="n">
        <v>0</v>
      </c>
      <c r="M2822" t="n">
        <v>0</v>
      </c>
      <c r="N2822" t="n">
        <v>0</v>
      </c>
      <c r="O2822" t="n">
        <v>0</v>
      </c>
      <c r="P2822" t="n">
        <v>0</v>
      </c>
      <c r="Q2822" t="n">
        <v>0</v>
      </c>
      <c r="R2822" s="2" t="inlineStr"/>
    </row>
    <row r="2823" ht="15" customHeight="1">
      <c r="A2823" t="inlineStr">
        <is>
          <t>A 34599-2019</t>
        </is>
      </c>
      <c r="B2823" s="1" t="n">
        <v>43647</v>
      </c>
      <c r="C2823" s="1" t="n">
        <v>45227</v>
      </c>
      <c r="D2823" t="inlineStr">
        <is>
          <t>VÄSTRA GÖTALANDS LÄN</t>
        </is>
      </c>
      <c r="E2823" t="inlineStr">
        <is>
          <t>VÄNERSBORG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34592-2019</t>
        </is>
      </c>
      <c r="B2824" s="1" t="n">
        <v>43647</v>
      </c>
      <c r="C2824" s="1" t="n">
        <v>45227</v>
      </c>
      <c r="D2824" t="inlineStr">
        <is>
          <t>VÄSTRA GÖTALANDS LÄN</t>
        </is>
      </c>
      <c r="E2824" t="inlineStr">
        <is>
          <t>VÄNERSBORG</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32929-2019</t>
        </is>
      </c>
      <c r="B2825" s="1" t="n">
        <v>43648</v>
      </c>
      <c r="C2825" s="1" t="n">
        <v>45227</v>
      </c>
      <c r="D2825" t="inlineStr">
        <is>
          <t>VÄSTRA GÖTALANDS LÄN</t>
        </is>
      </c>
      <c r="E2825" t="inlineStr">
        <is>
          <t>LILLA EDET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32947-2019</t>
        </is>
      </c>
      <c r="B2826" s="1" t="n">
        <v>43648</v>
      </c>
      <c r="C2826" s="1" t="n">
        <v>45227</v>
      </c>
      <c r="D2826" t="inlineStr">
        <is>
          <t>VÄSTRA GÖTALANDS LÄN</t>
        </is>
      </c>
      <c r="E2826" t="inlineStr">
        <is>
          <t>ALINGSÅS</t>
        </is>
      </c>
      <c r="G2826" t="n">
        <v>4.6</v>
      </c>
      <c r="H2826" t="n">
        <v>0</v>
      </c>
      <c r="I2826" t="n">
        <v>0</v>
      </c>
      <c r="J2826" t="n">
        <v>0</v>
      </c>
      <c r="K2826" t="n">
        <v>0</v>
      </c>
      <c r="L2826" t="n">
        <v>0</v>
      </c>
      <c r="M2826" t="n">
        <v>0</v>
      </c>
      <c r="N2826" t="n">
        <v>0</v>
      </c>
      <c r="O2826" t="n">
        <v>0</v>
      </c>
      <c r="P2826" t="n">
        <v>0</v>
      </c>
      <c r="Q2826" t="n">
        <v>0</v>
      </c>
      <c r="R2826" s="2" t="inlineStr"/>
    </row>
    <row r="2827" ht="15" customHeight="1">
      <c r="A2827" t="inlineStr">
        <is>
          <t>A 34716-2019</t>
        </is>
      </c>
      <c r="B2827" s="1" t="n">
        <v>43648</v>
      </c>
      <c r="C2827" s="1" t="n">
        <v>45227</v>
      </c>
      <c r="D2827" t="inlineStr">
        <is>
          <t>VÄSTRA GÖTALANDS LÄN</t>
        </is>
      </c>
      <c r="E2827" t="inlineStr">
        <is>
          <t>BENGTSFORS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32951-2019</t>
        </is>
      </c>
      <c r="B2828" s="1" t="n">
        <v>43648</v>
      </c>
      <c r="C2828" s="1" t="n">
        <v>45227</v>
      </c>
      <c r="D2828" t="inlineStr">
        <is>
          <t>VÄSTRA GÖTALANDS LÄN</t>
        </is>
      </c>
      <c r="E2828" t="inlineStr">
        <is>
          <t>ALINGSÅS</t>
        </is>
      </c>
      <c r="G2828" t="n">
        <v>6.7</v>
      </c>
      <c r="H2828" t="n">
        <v>0</v>
      </c>
      <c r="I2828" t="n">
        <v>0</v>
      </c>
      <c r="J2828" t="n">
        <v>0</v>
      </c>
      <c r="K2828" t="n">
        <v>0</v>
      </c>
      <c r="L2828" t="n">
        <v>0</v>
      </c>
      <c r="M2828" t="n">
        <v>0</v>
      </c>
      <c r="N2828" t="n">
        <v>0</v>
      </c>
      <c r="O2828" t="n">
        <v>0</v>
      </c>
      <c r="P2828" t="n">
        <v>0</v>
      </c>
      <c r="Q2828" t="n">
        <v>0</v>
      </c>
      <c r="R2828" s="2" t="inlineStr"/>
    </row>
    <row r="2829" ht="15" customHeight="1">
      <c r="A2829" t="inlineStr">
        <is>
          <t>A 33027-2019</t>
        </is>
      </c>
      <c r="B2829" s="1" t="n">
        <v>43649</v>
      </c>
      <c r="C2829" s="1" t="n">
        <v>45227</v>
      </c>
      <c r="D2829" t="inlineStr">
        <is>
          <t>VÄSTRA GÖTALANDS LÄN</t>
        </is>
      </c>
      <c r="E2829" t="inlineStr">
        <is>
          <t>MARIESTAD</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33171-2019</t>
        </is>
      </c>
      <c r="B2830" s="1" t="n">
        <v>43649</v>
      </c>
      <c r="C2830" s="1" t="n">
        <v>45227</v>
      </c>
      <c r="D2830" t="inlineStr">
        <is>
          <t>VÄSTRA GÖTALANDS LÄN</t>
        </is>
      </c>
      <c r="E2830" t="inlineStr">
        <is>
          <t>HERRLJUNGA</t>
        </is>
      </c>
      <c r="F2830" t="inlineStr">
        <is>
          <t>Kyrkan</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34820-2019</t>
        </is>
      </c>
      <c r="B2831" s="1" t="n">
        <v>43649</v>
      </c>
      <c r="C2831" s="1" t="n">
        <v>45227</v>
      </c>
      <c r="D2831" t="inlineStr">
        <is>
          <t>VÄSTRA GÖTALANDS LÄN</t>
        </is>
      </c>
      <c r="E2831" t="inlineStr">
        <is>
          <t>FÄRGELANDA</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33030-2019</t>
        </is>
      </c>
      <c r="B2832" s="1" t="n">
        <v>43649</v>
      </c>
      <c r="C2832" s="1" t="n">
        <v>45227</v>
      </c>
      <c r="D2832" t="inlineStr">
        <is>
          <t>VÄSTRA GÖTALANDS LÄN</t>
        </is>
      </c>
      <c r="E2832" t="inlineStr">
        <is>
          <t>MARIESTAD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33028-2019</t>
        </is>
      </c>
      <c r="B2833" s="1" t="n">
        <v>43649</v>
      </c>
      <c r="C2833" s="1" t="n">
        <v>45227</v>
      </c>
      <c r="D2833" t="inlineStr">
        <is>
          <t>VÄSTRA GÖTALANDS LÄN</t>
        </is>
      </c>
      <c r="E2833" t="inlineStr">
        <is>
          <t>BOLLEBYGD</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33174-2019</t>
        </is>
      </c>
      <c r="B2834" s="1" t="n">
        <v>43649</v>
      </c>
      <c r="C2834" s="1" t="n">
        <v>45227</v>
      </c>
      <c r="D2834" t="inlineStr">
        <is>
          <t>VÄSTRA GÖTALANDS LÄN</t>
        </is>
      </c>
      <c r="E2834" t="inlineStr">
        <is>
          <t>HERRLJUNGA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34828-2019</t>
        </is>
      </c>
      <c r="B2835" s="1" t="n">
        <v>43649</v>
      </c>
      <c r="C2835" s="1" t="n">
        <v>45227</v>
      </c>
      <c r="D2835" t="inlineStr">
        <is>
          <t>VÄSTRA GÖTALANDS LÄN</t>
        </is>
      </c>
      <c r="E2835" t="inlineStr">
        <is>
          <t>ORUST</t>
        </is>
      </c>
      <c r="G2835" t="n">
        <v>10.7</v>
      </c>
      <c r="H2835" t="n">
        <v>0</v>
      </c>
      <c r="I2835" t="n">
        <v>0</v>
      </c>
      <c r="J2835" t="n">
        <v>0</v>
      </c>
      <c r="K2835" t="n">
        <v>0</v>
      </c>
      <c r="L2835" t="n">
        <v>0</v>
      </c>
      <c r="M2835" t="n">
        <v>0</v>
      </c>
      <c r="N2835" t="n">
        <v>0</v>
      </c>
      <c r="O2835" t="n">
        <v>0</v>
      </c>
      <c r="P2835" t="n">
        <v>0</v>
      </c>
      <c r="Q2835" t="n">
        <v>0</v>
      </c>
      <c r="R2835" s="2" t="inlineStr"/>
    </row>
    <row r="2836" ht="15" customHeight="1">
      <c r="A2836" t="inlineStr">
        <is>
          <t>A 33137-2019</t>
        </is>
      </c>
      <c r="B2836" s="1" t="n">
        <v>43649</v>
      </c>
      <c r="C2836" s="1" t="n">
        <v>45227</v>
      </c>
      <c r="D2836" t="inlineStr">
        <is>
          <t>VÄSTRA GÖTALANDS LÄN</t>
        </is>
      </c>
      <c r="E2836" t="inlineStr">
        <is>
          <t>ULRICEHAMN</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33175-2019</t>
        </is>
      </c>
      <c r="B2837" s="1" t="n">
        <v>43649</v>
      </c>
      <c r="C2837" s="1" t="n">
        <v>45227</v>
      </c>
      <c r="D2837" t="inlineStr">
        <is>
          <t>VÄSTRA GÖTALANDS LÄN</t>
        </is>
      </c>
      <c r="E2837" t="inlineStr">
        <is>
          <t>HERRLJUNGA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33326-2019</t>
        </is>
      </c>
      <c r="B2838" s="1" t="n">
        <v>43650</v>
      </c>
      <c r="C2838" s="1" t="n">
        <v>45227</v>
      </c>
      <c r="D2838" t="inlineStr">
        <is>
          <t>VÄSTRA GÖTALANDS LÄN</t>
        </is>
      </c>
      <c r="E2838" t="inlineStr">
        <is>
          <t>TANUM</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33366-2019</t>
        </is>
      </c>
      <c r="B2839" s="1" t="n">
        <v>43650</v>
      </c>
      <c r="C2839" s="1" t="n">
        <v>45227</v>
      </c>
      <c r="D2839" t="inlineStr">
        <is>
          <t>VÄSTRA GÖTALANDS LÄN</t>
        </is>
      </c>
      <c r="E2839" t="inlineStr">
        <is>
          <t>ALINGSÅS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33376-2019</t>
        </is>
      </c>
      <c r="B2840" s="1" t="n">
        <v>43650</v>
      </c>
      <c r="C2840" s="1" t="n">
        <v>45227</v>
      </c>
      <c r="D2840" t="inlineStr">
        <is>
          <t>VÄSTRA GÖTALANDS LÄN</t>
        </is>
      </c>
      <c r="E2840" t="inlineStr">
        <is>
          <t>ESSUNGA</t>
        </is>
      </c>
      <c r="G2840" t="n">
        <v>5.1</v>
      </c>
      <c r="H2840" t="n">
        <v>0</v>
      </c>
      <c r="I2840" t="n">
        <v>0</v>
      </c>
      <c r="J2840" t="n">
        <v>0</v>
      </c>
      <c r="K2840" t="n">
        <v>0</v>
      </c>
      <c r="L2840" t="n">
        <v>0</v>
      </c>
      <c r="M2840" t="n">
        <v>0</v>
      </c>
      <c r="N2840" t="n">
        <v>0</v>
      </c>
      <c r="O2840" t="n">
        <v>0</v>
      </c>
      <c r="P2840" t="n">
        <v>0</v>
      </c>
      <c r="Q2840" t="n">
        <v>0</v>
      </c>
      <c r="R2840" s="2" t="inlineStr"/>
    </row>
    <row r="2841" ht="15" customHeight="1">
      <c r="A2841" t="inlineStr">
        <is>
          <t>A 33233-2019</t>
        </is>
      </c>
      <c r="B2841" s="1" t="n">
        <v>43650</v>
      </c>
      <c r="C2841" s="1" t="n">
        <v>45227</v>
      </c>
      <c r="D2841" t="inlineStr">
        <is>
          <t>VÄSTRA GÖTALANDS LÄN</t>
        </is>
      </c>
      <c r="E2841" t="inlineStr">
        <is>
          <t>TÖREBODA</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33501-2019</t>
        </is>
      </c>
      <c r="B2842" s="1" t="n">
        <v>43651</v>
      </c>
      <c r="C2842" s="1" t="n">
        <v>45227</v>
      </c>
      <c r="D2842" t="inlineStr">
        <is>
          <t>VÄSTRA GÖTALANDS LÄN</t>
        </is>
      </c>
      <c r="E2842" t="inlineStr">
        <is>
          <t>DALS-ED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33688-2019</t>
        </is>
      </c>
      <c r="B2843" s="1" t="n">
        <v>43651</v>
      </c>
      <c r="C2843" s="1" t="n">
        <v>45227</v>
      </c>
      <c r="D2843" t="inlineStr">
        <is>
          <t>VÄSTRA GÖTALANDS LÄN</t>
        </is>
      </c>
      <c r="E2843" t="inlineStr">
        <is>
          <t>KUNGÄLV</t>
        </is>
      </c>
      <c r="G2843" t="n">
        <v>0.3</v>
      </c>
      <c r="H2843" t="n">
        <v>0</v>
      </c>
      <c r="I2843" t="n">
        <v>0</v>
      </c>
      <c r="J2843" t="n">
        <v>0</v>
      </c>
      <c r="K2843" t="n">
        <v>0</v>
      </c>
      <c r="L2843" t="n">
        <v>0</v>
      </c>
      <c r="M2843" t="n">
        <v>0</v>
      </c>
      <c r="N2843" t="n">
        <v>0</v>
      </c>
      <c r="O2843" t="n">
        <v>0</v>
      </c>
      <c r="P2843" t="n">
        <v>0</v>
      </c>
      <c r="Q2843" t="n">
        <v>0</v>
      </c>
      <c r="R2843" s="2" t="inlineStr"/>
    </row>
    <row r="2844" ht="15" customHeight="1">
      <c r="A2844" t="inlineStr">
        <is>
          <t>A 33713-2019</t>
        </is>
      </c>
      <c r="B2844" s="1" t="n">
        <v>43651</v>
      </c>
      <c r="C2844" s="1" t="n">
        <v>45227</v>
      </c>
      <c r="D2844" t="inlineStr">
        <is>
          <t>VÄSTRA GÖTALANDS LÄN</t>
        </is>
      </c>
      <c r="E2844" t="inlineStr">
        <is>
          <t>MARIESTAD</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33773-2019</t>
        </is>
      </c>
      <c r="B2845" s="1" t="n">
        <v>43651</v>
      </c>
      <c r="C2845" s="1" t="n">
        <v>45227</v>
      </c>
      <c r="D2845" t="inlineStr">
        <is>
          <t>VÄSTRA GÖTALANDS LÄN</t>
        </is>
      </c>
      <c r="E2845" t="inlineStr">
        <is>
          <t>FALKÖPING</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35304-2019</t>
        </is>
      </c>
      <c r="B2846" s="1" t="n">
        <v>43651</v>
      </c>
      <c r="C2846" s="1" t="n">
        <v>45227</v>
      </c>
      <c r="D2846" t="inlineStr">
        <is>
          <t>VÄSTRA GÖTALANDS LÄN</t>
        </is>
      </c>
      <c r="E2846" t="inlineStr">
        <is>
          <t>MELLERUD</t>
        </is>
      </c>
      <c r="G2846" t="n">
        <v>2.6</v>
      </c>
      <c r="H2846" t="n">
        <v>0</v>
      </c>
      <c r="I2846" t="n">
        <v>0</v>
      </c>
      <c r="J2846" t="n">
        <v>0</v>
      </c>
      <c r="K2846" t="n">
        <v>0</v>
      </c>
      <c r="L2846" t="n">
        <v>0</v>
      </c>
      <c r="M2846" t="n">
        <v>0</v>
      </c>
      <c r="N2846" t="n">
        <v>0</v>
      </c>
      <c r="O2846" t="n">
        <v>0</v>
      </c>
      <c r="P2846" t="n">
        <v>0</v>
      </c>
      <c r="Q2846" t="n">
        <v>0</v>
      </c>
      <c r="R2846" s="2" t="inlineStr"/>
    </row>
    <row r="2847" ht="15" customHeight="1">
      <c r="A2847" t="inlineStr">
        <is>
          <t>A 33677-2019</t>
        </is>
      </c>
      <c r="B2847" s="1" t="n">
        <v>43651</v>
      </c>
      <c r="C2847" s="1" t="n">
        <v>45227</v>
      </c>
      <c r="D2847" t="inlineStr">
        <is>
          <t>VÄSTRA GÖTALANDS LÄN</t>
        </is>
      </c>
      <c r="E2847" t="inlineStr">
        <is>
          <t>TROLLHÄTTAN</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33716-2019</t>
        </is>
      </c>
      <c r="B2848" s="1" t="n">
        <v>43651</v>
      </c>
      <c r="C2848" s="1" t="n">
        <v>45227</v>
      </c>
      <c r="D2848" t="inlineStr">
        <is>
          <t>VÄSTRA GÖTALANDS LÄN</t>
        </is>
      </c>
      <c r="E2848" t="inlineStr">
        <is>
          <t>MARIESTAD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35306-2019</t>
        </is>
      </c>
      <c r="B2849" s="1" t="n">
        <v>43651</v>
      </c>
      <c r="C2849" s="1" t="n">
        <v>45227</v>
      </c>
      <c r="D2849" t="inlineStr">
        <is>
          <t>VÄSTRA GÖTALANDS LÄN</t>
        </is>
      </c>
      <c r="E2849" t="inlineStr">
        <is>
          <t>MELLERUD</t>
        </is>
      </c>
      <c r="G2849" t="n">
        <v>14.9</v>
      </c>
      <c r="H2849" t="n">
        <v>0</v>
      </c>
      <c r="I2849" t="n">
        <v>0</v>
      </c>
      <c r="J2849" t="n">
        <v>0</v>
      </c>
      <c r="K2849" t="n">
        <v>0</v>
      </c>
      <c r="L2849" t="n">
        <v>0</v>
      </c>
      <c r="M2849" t="n">
        <v>0</v>
      </c>
      <c r="N2849" t="n">
        <v>0</v>
      </c>
      <c r="O2849" t="n">
        <v>0</v>
      </c>
      <c r="P2849" t="n">
        <v>0</v>
      </c>
      <c r="Q2849" t="n">
        <v>0</v>
      </c>
      <c r="R2849" s="2" t="inlineStr"/>
    </row>
    <row r="2850" ht="15" customHeight="1">
      <c r="A2850" t="inlineStr">
        <is>
          <t>A 33684-2019</t>
        </is>
      </c>
      <c r="B2850" s="1" t="n">
        <v>43651</v>
      </c>
      <c r="C2850" s="1" t="n">
        <v>45227</v>
      </c>
      <c r="D2850" t="inlineStr">
        <is>
          <t>VÄSTRA GÖTALANDS LÄN</t>
        </is>
      </c>
      <c r="E2850" t="inlineStr">
        <is>
          <t>KUNGÄLV</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33690-2019</t>
        </is>
      </c>
      <c r="B2851" s="1" t="n">
        <v>43651</v>
      </c>
      <c r="C2851" s="1" t="n">
        <v>45227</v>
      </c>
      <c r="D2851" t="inlineStr">
        <is>
          <t>VÄSTRA GÖTALANDS LÄN</t>
        </is>
      </c>
      <c r="E2851" t="inlineStr">
        <is>
          <t>FÄRGELANDA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33703-2019</t>
        </is>
      </c>
      <c r="B2852" s="1" t="n">
        <v>43651</v>
      </c>
      <c r="C2852" s="1" t="n">
        <v>45227</v>
      </c>
      <c r="D2852" t="inlineStr">
        <is>
          <t>VÄSTRA GÖTALANDS LÄN</t>
        </is>
      </c>
      <c r="E2852" t="inlineStr">
        <is>
          <t>TÖREBODA</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35383-2019</t>
        </is>
      </c>
      <c r="B2853" s="1" t="n">
        <v>43651</v>
      </c>
      <c r="C2853" s="1" t="n">
        <v>45227</v>
      </c>
      <c r="D2853" t="inlineStr">
        <is>
          <t>VÄSTRA GÖTALANDS LÄN</t>
        </is>
      </c>
      <c r="E2853" t="inlineStr">
        <is>
          <t>TANUM</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33500-2019</t>
        </is>
      </c>
      <c r="B2854" s="1" t="n">
        <v>43651</v>
      </c>
      <c r="C2854" s="1" t="n">
        <v>45227</v>
      </c>
      <c r="D2854" t="inlineStr">
        <is>
          <t>VÄSTRA GÖTALANDS LÄN</t>
        </is>
      </c>
      <c r="E2854" t="inlineStr">
        <is>
          <t>DALS-ED</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33582-2019</t>
        </is>
      </c>
      <c r="B2855" s="1" t="n">
        <v>43651</v>
      </c>
      <c r="C2855" s="1" t="n">
        <v>45227</v>
      </c>
      <c r="D2855" t="inlineStr">
        <is>
          <t>VÄSTRA GÖTALANDS LÄN</t>
        </is>
      </c>
      <c r="E2855" t="inlineStr">
        <is>
          <t>VARA</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33706-2019</t>
        </is>
      </c>
      <c r="B2856" s="1" t="n">
        <v>43651</v>
      </c>
      <c r="C2856" s="1" t="n">
        <v>45227</v>
      </c>
      <c r="D2856" t="inlineStr">
        <is>
          <t>VÄSTRA GÖTALANDS LÄN</t>
        </is>
      </c>
      <c r="E2856" t="inlineStr">
        <is>
          <t>TÖREBODA</t>
        </is>
      </c>
      <c r="G2856" t="n">
        <v>4.1</v>
      </c>
      <c r="H2856" t="n">
        <v>0</v>
      </c>
      <c r="I2856" t="n">
        <v>0</v>
      </c>
      <c r="J2856" t="n">
        <v>0</v>
      </c>
      <c r="K2856" t="n">
        <v>0</v>
      </c>
      <c r="L2856" t="n">
        <v>0</v>
      </c>
      <c r="M2856" t="n">
        <v>0</v>
      </c>
      <c r="N2856" t="n">
        <v>0</v>
      </c>
      <c r="O2856" t="n">
        <v>0</v>
      </c>
      <c r="P2856" t="n">
        <v>0</v>
      </c>
      <c r="Q2856" t="n">
        <v>0</v>
      </c>
      <c r="R2856" s="2" t="inlineStr"/>
    </row>
    <row r="2857" ht="15" customHeight="1">
      <c r="A2857" t="inlineStr">
        <is>
          <t>A 35400-2019</t>
        </is>
      </c>
      <c r="B2857" s="1" t="n">
        <v>43651</v>
      </c>
      <c r="C2857" s="1" t="n">
        <v>45227</v>
      </c>
      <c r="D2857" t="inlineStr">
        <is>
          <t>VÄSTRA GÖTALANDS LÄN</t>
        </is>
      </c>
      <c r="E2857" t="inlineStr">
        <is>
          <t>VARA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33862-2019</t>
        </is>
      </c>
      <c r="B2858" s="1" t="n">
        <v>43652</v>
      </c>
      <c r="C2858" s="1" t="n">
        <v>45227</v>
      </c>
      <c r="D2858" t="inlineStr">
        <is>
          <t>VÄSTRA GÖTALANDS LÄN</t>
        </is>
      </c>
      <c r="E2858" t="inlineStr">
        <is>
          <t>ORUST</t>
        </is>
      </c>
      <c r="G2858" t="n">
        <v>3.7</v>
      </c>
      <c r="H2858" t="n">
        <v>0</v>
      </c>
      <c r="I2858" t="n">
        <v>0</v>
      </c>
      <c r="J2858" t="n">
        <v>0</v>
      </c>
      <c r="K2858" t="n">
        <v>0</v>
      </c>
      <c r="L2858" t="n">
        <v>0</v>
      </c>
      <c r="M2858" t="n">
        <v>0</v>
      </c>
      <c r="N2858" t="n">
        <v>0</v>
      </c>
      <c r="O2858" t="n">
        <v>0</v>
      </c>
      <c r="P2858" t="n">
        <v>0</v>
      </c>
      <c r="Q2858" t="n">
        <v>0</v>
      </c>
      <c r="R2858" s="2" t="inlineStr"/>
    </row>
    <row r="2859" ht="15" customHeight="1">
      <c r="A2859" t="inlineStr">
        <is>
          <t>A 33885-2019</t>
        </is>
      </c>
      <c r="B2859" s="1" t="n">
        <v>43653</v>
      </c>
      <c r="C2859" s="1" t="n">
        <v>45227</v>
      </c>
      <c r="D2859" t="inlineStr">
        <is>
          <t>VÄSTRA GÖTALANDS LÄN</t>
        </is>
      </c>
      <c r="E2859" t="inlineStr">
        <is>
          <t>ALINGSÅS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33893-2019</t>
        </is>
      </c>
      <c r="B2860" s="1" t="n">
        <v>43653</v>
      </c>
      <c r="C2860" s="1" t="n">
        <v>45227</v>
      </c>
      <c r="D2860" t="inlineStr">
        <is>
          <t>VÄSTRA GÖTALANDS LÄN</t>
        </is>
      </c>
      <c r="E2860" t="inlineStr">
        <is>
          <t>ULRICEHAMN</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33936-2019</t>
        </is>
      </c>
      <c r="B2861" s="1" t="n">
        <v>43654</v>
      </c>
      <c r="C2861" s="1" t="n">
        <v>45227</v>
      </c>
      <c r="D2861" t="inlineStr">
        <is>
          <t>VÄSTRA GÖTALANDS LÄN</t>
        </is>
      </c>
      <c r="E2861" t="inlineStr">
        <is>
          <t>ESSUNGA</t>
        </is>
      </c>
      <c r="G2861" t="n">
        <v>1.8</v>
      </c>
      <c r="H2861" t="n">
        <v>0</v>
      </c>
      <c r="I2861" t="n">
        <v>0</v>
      </c>
      <c r="J2861" t="n">
        <v>0</v>
      </c>
      <c r="K2861" t="n">
        <v>0</v>
      </c>
      <c r="L2861" t="n">
        <v>0</v>
      </c>
      <c r="M2861" t="n">
        <v>0</v>
      </c>
      <c r="N2861" t="n">
        <v>0</v>
      </c>
      <c r="O2861" t="n">
        <v>0</v>
      </c>
      <c r="P2861" t="n">
        <v>0</v>
      </c>
      <c r="Q2861" t="n">
        <v>0</v>
      </c>
      <c r="R2861" s="2" t="inlineStr"/>
    </row>
    <row r="2862" ht="15" customHeight="1">
      <c r="A2862" t="inlineStr">
        <is>
          <t>A 33997-2019</t>
        </is>
      </c>
      <c r="B2862" s="1" t="n">
        <v>43654</v>
      </c>
      <c r="C2862" s="1" t="n">
        <v>45227</v>
      </c>
      <c r="D2862" t="inlineStr">
        <is>
          <t>VÄSTRA GÖTALANDS LÄN</t>
        </is>
      </c>
      <c r="E2862" t="inlineStr">
        <is>
          <t>TIDAHOLM</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33991-2019</t>
        </is>
      </c>
      <c r="B2863" s="1" t="n">
        <v>43654</v>
      </c>
      <c r="C2863" s="1" t="n">
        <v>45227</v>
      </c>
      <c r="D2863" t="inlineStr">
        <is>
          <t>VÄSTRA GÖTALANDS LÄN</t>
        </is>
      </c>
      <c r="E2863" t="inlineStr">
        <is>
          <t>UDDEVALLA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35539-2019</t>
        </is>
      </c>
      <c r="B2864" s="1" t="n">
        <v>43654</v>
      </c>
      <c r="C2864" s="1" t="n">
        <v>45227</v>
      </c>
      <c r="D2864" t="inlineStr">
        <is>
          <t>VÄSTRA GÖTALANDS LÄN</t>
        </is>
      </c>
      <c r="E2864" t="inlineStr">
        <is>
          <t>BORÅS</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34080-2019</t>
        </is>
      </c>
      <c r="B2865" s="1" t="n">
        <v>43654</v>
      </c>
      <c r="C2865" s="1" t="n">
        <v>45227</v>
      </c>
      <c r="D2865" t="inlineStr">
        <is>
          <t>VÄSTRA GÖTALANDS LÄN</t>
        </is>
      </c>
      <c r="E2865" t="inlineStr">
        <is>
          <t>TRANEMO</t>
        </is>
      </c>
      <c r="G2865" t="n">
        <v>1.3</v>
      </c>
      <c r="H2865" t="n">
        <v>0</v>
      </c>
      <c r="I2865" t="n">
        <v>0</v>
      </c>
      <c r="J2865" t="n">
        <v>0</v>
      </c>
      <c r="K2865" t="n">
        <v>0</v>
      </c>
      <c r="L2865" t="n">
        <v>0</v>
      </c>
      <c r="M2865" t="n">
        <v>0</v>
      </c>
      <c r="N2865" t="n">
        <v>0</v>
      </c>
      <c r="O2865" t="n">
        <v>0</v>
      </c>
      <c r="P2865" t="n">
        <v>0</v>
      </c>
      <c r="Q2865" t="n">
        <v>0</v>
      </c>
      <c r="R2865" s="2" t="inlineStr"/>
    </row>
    <row r="2866" ht="15" customHeight="1">
      <c r="A2866" t="inlineStr">
        <is>
          <t>A 34044-2019</t>
        </is>
      </c>
      <c r="B2866" s="1" t="n">
        <v>43654</v>
      </c>
      <c r="C2866" s="1" t="n">
        <v>45227</v>
      </c>
      <c r="D2866" t="inlineStr">
        <is>
          <t>VÄSTRA GÖTALANDS LÄN</t>
        </is>
      </c>
      <c r="E2866" t="inlineStr">
        <is>
          <t>TJÖRN</t>
        </is>
      </c>
      <c r="G2866" t="n">
        <v>8.199999999999999</v>
      </c>
      <c r="H2866" t="n">
        <v>0</v>
      </c>
      <c r="I2866" t="n">
        <v>0</v>
      </c>
      <c r="J2866" t="n">
        <v>0</v>
      </c>
      <c r="K2866" t="n">
        <v>0</v>
      </c>
      <c r="L2866" t="n">
        <v>0</v>
      </c>
      <c r="M2866" t="n">
        <v>0</v>
      </c>
      <c r="N2866" t="n">
        <v>0</v>
      </c>
      <c r="O2866" t="n">
        <v>0</v>
      </c>
      <c r="P2866" t="n">
        <v>0</v>
      </c>
      <c r="Q2866" t="n">
        <v>0</v>
      </c>
      <c r="R2866" s="2" t="inlineStr"/>
    </row>
    <row r="2867" ht="15" customHeight="1">
      <c r="A2867" t="inlineStr">
        <is>
          <t>A 34220-2019</t>
        </is>
      </c>
      <c r="B2867" s="1" t="n">
        <v>43655</v>
      </c>
      <c r="C2867" s="1" t="n">
        <v>45227</v>
      </c>
      <c r="D2867" t="inlineStr">
        <is>
          <t>VÄSTRA GÖTALANDS LÄN</t>
        </is>
      </c>
      <c r="E2867" t="inlineStr">
        <is>
          <t>SKÖVDE</t>
        </is>
      </c>
      <c r="G2867" t="n">
        <v>5.6</v>
      </c>
      <c r="H2867" t="n">
        <v>0</v>
      </c>
      <c r="I2867" t="n">
        <v>0</v>
      </c>
      <c r="J2867" t="n">
        <v>0</v>
      </c>
      <c r="K2867" t="n">
        <v>0</v>
      </c>
      <c r="L2867" t="n">
        <v>0</v>
      </c>
      <c r="M2867" t="n">
        <v>0</v>
      </c>
      <c r="N2867" t="n">
        <v>0</v>
      </c>
      <c r="O2867" t="n">
        <v>0</v>
      </c>
      <c r="P2867" t="n">
        <v>0</v>
      </c>
      <c r="Q2867" t="n">
        <v>0</v>
      </c>
      <c r="R2867" s="2" t="inlineStr"/>
    </row>
    <row r="2868" ht="15" customHeight="1">
      <c r="A2868" t="inlineStr">
        <is>
          <t>A 34223-2019</t>
        </is>
      </c>
      <c r="B2868" s="1" t="n">
        <v>43655</v>
      </c>
      <c r="C2868" s="1" t="n">
        <v>45227</v>
      </c>
      <c r="D2868" t="inlineStr">
        <is>
          <t>VÄSTRA GÖTALANDS LÄN</t>
        </is>
      </c>
      <c r="E2868" t="inlineStr">
        <is>
          <t>SKÖVDE</t>
        </is>
      </c>
      <c r="G2868" t="n">
        <v>5.6</v>
      </c>
      <c r="H2868" t="n">
        <v>0</v>
      </c>
      <c r="I2868" t="n">
        <v>0</v>
      </c>
      <c r="J2868" t="n">
        <v>0</v>
      </c>
      <c r="K2868" t="n">
        <v>0</v>
      </c>
      <c r="L2868" t="n">
        <v>0</v>
      </c>
      <c r="M2868" t="n">
        <v>0</v>
      </c>
      <c r="N2868" t="n">
        <v>0</v>
      </c>
      <c r="O2868" t="n">
        <v>0</v>
      </c>
      <c r="P2868" t="n">
        <v>0</v>
      </c>
      <c r="Q2868" t="n">
        <v>0</v>
      </c>
      <c r="R2868" s="2" t="inlineStr"/>
    </row>
    <row r="2869" ht="15" customHeight="1">
      <c r="A2869" t="inlineStr">
        <is>
          <t>A 34254-2019</t>
        </is>
      </c>
      <c r="B2869" s="1" t="n">
        <v>43655</v>
      </c>
      <c r="C2869" s="1" t="n">
        <v>45227</v>
      </c>
      <c r="D2869" t="inlineStr">
        <is>
          <t>VÄSTRA GÖTALANDS LÄN</t>
        </is>
      </c>
      <c r="E2869" t="inlineStr">
        <is>
          <t>LILLA EDET</t>
        </is>
      </c>
      <c r="G2869" t="n">
        <v>7.1</v>
      </c>
      <c r="H2869" t="n">
        <v>0</v>
      </c>
      <c r="I2869" t="n">
        <v>0</v>
      </c>
      <c r="J2869" t="n">
        <v>0</v>
      </c>
      <c r="K2869" t="n">
        <v>0</v>
      </c>
      <c r="L2869" t="n">
        <v>0</v>
      </c>
      <c r="M2869" t="n">
        <v>0</v>
      </c>
      <c r="N2869" t="n">
        <v>0</v>
      </c>
      <c r="O2869" t="n">
        <v>0</v>
      </c>
      <c r="P2869" t="n">
        <v>0</v>
      </c>
      <c r="Q2869" t="n">
        <v>0</v>
      </c>
      <c r="R2869" s="2" t="inlineStr"/>
    </row>
    <row r="2870" ht="15" customHeight="1">
      <c r="A2870" t="inlineStr">
        <is>
          <t>A 35676-2019</t>
        </is>
      </c>
      <c r="B2870" s="1" t="n">
        <v>43655</v>
      </c>
      <c r="C2870" s="1" t="n">
        <v>45227</v>
      </c>
      <c r="D2870" t="inlineStr">
        <is>
          <t>VÄSTRA GÖTALANDS LÄN</t>
        </is>
      </c>
      <c r="E2870" t="inlineStr">
        <is>
          <t>BENGTSFORS</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34349-2019</t>
        </is>
      </c>
      <c r="B2871" s="1" t="n">
        <v>43656</v>
      </c>
      <c r="C2871" s="1" t="n">
        <v>45227</v>
      </c>
      <c r="D2871" t="inlineStr">
        <is>
          <t>VÄSTRA GÖTALANDS LÄN</t>
        </is>
      </c>
      <c r="E2871" t="inlineStr">
        <is>
          <t>VÅRGÅRDA</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34342-2019</t>
        </is>
      </c>
      <c r="B2872" s="1" t="n">
        <v>43656</v>
      </c>
      <c r="C2872" s="1" t="n">
        <v>45227</v>
      </c>
      <c r="D2872" t="inlineStr">
        <is>
          <t>VÄSTRA GÖTALANDS LÄN</t>
        </is>
      </c>
      <c r="E2872" t="inlineStr">
        <is>
          <t>MARIESTAD</t>
        </is>
      </c>
      <c r="G2872" t="n">
        <v>0.3</v>
      </c>
      <c r="H2872" t="n">
        <v>0</v>
      </c>
      <c r="I2872" t="n">
        <v>0</v>
      </c>
      <c r="J2872" t="n">
        <v>0</v>
      </c>
      <c r="K2872" t="n">
        <v>0</v>
      </c>
      <c r="L2872" t="n">
        <v>0</v>
      </c>
      <c r="M2872" t="n">
        <v>0</v>
      </c>
      <c r="N2872" t="n">
        <v>0</v>
      </c>
      <c r="O2872" t="n">
        <v>0</v>
      </c>
      <c r="P2872" t="n">
        <v>0</v>
      </c>
      <c r="Q2872" t="n">
        <v>0</v>
      </c>
      <c r="R2872" s="2" t="inlineStr"/>
    </row>
    <row r="2873" ht="15" customHeight="1">
      <c r="A2873" t="inlineStr">
        <is>
          <t>A 34351-2019</t>
        </is>
      </c>
      <c r="B2873" s="1" t="n">
        <v>43656</v>
      </c>
      <c r="C2873" s="1" t="n">
        <v>45227</v>
      </c>
      <c r="D2873" t="inlineStr">
        <is>
          <t>VÄSTRA GÖTALANDS LÄN</t>
        </is>
      </c>
      <c r="E2873" t="inlineStr">
        <is>
          <t>BOLLEBYGD</t>
        </is>
      </c>
      <c r="G2873" t="n">
        <v>7</v>
      </c>
      <c r="H2873" t="n">
        <v>0</v>
      </c>
      <c r="I2873" t="n">
        <v>0</v>
      </c>
      <c r="J2873" t="n">
        <v>0</v>
      </c>
      <c r="K2873" t="n">
        <v>0</v>
      </c>
      <c r="L2873" t="n">
        <v>0</v>
      </c>
      <c r="M2873" t="n">
        <v>0</v>
      </c>
      <c r="N2873" t="n">
        <v>0</v>
      </c>
      <c r="O2873" t="n">
        <v>0</v>
      </c>
      <c r="P2873" t="n">
        <v>0</v>
      </c>
      <c r="Q2873" t="n">
        <v>0</v>
      </c>
      <c r="R2873" s="2" t="inlineStr"/>
    </row>
    <row r="2874" ht="15" customHeight="1">
      <c r="A2874" t="inlineStr">
        <is>
          <t>A 34389-2019</t>
        </is>
      </c>
      <c r="B2874" s="1" t="n">
        <v>43656</v>
      </c>
      <c r="C2874" s="1" t="n">
        <v>45227</v>
      </c>
      <c r="D2874" t="inlineStr">
        <is>
          <t>VÄSTRA GÖTALANDS LÄN</t>
        </is>
      </c>
      <c r="E2874" t="inlineStr">
        <is>
          <t>VÅRGÅRDA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34662-2019</t>
        </is>
      </c>
      <c r="B2875" s="1" t="n">
        <v>43657</v>
      </c>
      <c r="C2875" s="1" t="n">
        <v>45227</v>
      </c>
      <c r="D2875" t="inlineStr">
        <is>
          <t>VÄSTRA GÖTALANDS LÄN</t>
        </is>
      </c>
      <c r="E2875" t="inlineStr">
        <is>
          <t>ALINGSÅS</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34706-2019</t>
        </is>
      </c>
      <c r="B2876" s="1" t="n">
        <v>43657</v>
      </c>
      <c r="C2876" s="1" t="n">
        <v>45227</v>
      </c>
      <c r="D2876" t="inlineStr">
        <is>
          <t>VÄSTRA GÖTALANDS LÄN</t>
        </is>
      </c>
      <c r="E2876" t="inlineStr">
        <is>
          <t>TJÖRN</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34710-2019</t>
        </is>
      </c>
      <c r="B2877" s="1" t="n">
        <v>43657</v>
      </c>
      <c r="C2877" s="1" t="n">
        <v>45227</v>
      </c>
      <c r="D2877" t="inlineStr">
        <is>
          <t>VÄSTRA GÖTALANDS LÄN</t>
        </is>
      </c>
      <c r="E2877" t="inlineStr">
        <is>
          <t>FALKÖPING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34832-2019</t>
        </is>
      </c>
      <c r="B2878" s="1" t="n">
        <v>43658</v>
      </c>
      <c r="C2878" s="1" t="n">
        <v>45227</v>
      </c>
      <c r="D2878" t="inlineStr">
        <is>
          <t>VÄSTRA GÖTALANDS LÄN</t>
        </is>
      </c>
      <c r="E2878" t="inlineStr">
        <is>
          <t>HERRLJUNGA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34759-2019</t>
        </is>
      </c>
      <c r="B2879" s="1" t="n">
        <v>43658</v>
      </c>
      <c r="C2879" s="1" t="n">
        <v>45227</v>
      </c>
      <c r="D2879" t="inlineStr">
        <is>
          <t>VÄSTRA GÖTALANDS LÄN</t>
        </is>
      </c>
      <c r="E2879" t="inlineStr">
        <is>
          <t>SVENLJUNGA</t>
        </is>
      </c>
      <c r="G2879" t="n">
        <v>5</v>
      </c>
      <c r="H2879" t="n">
        <v>0</v>
      </c>
      <c r="I2879" t="n">
        <v>0</v>
      </c>
      <c r="J2879" t="n">
        <v>0</v>
      </c>
      <c r="K2879" t="n">
        <v>0</v>
      </c>
      <c r="L2879" t="n">
        <v>0</v>
      </c>
      <c r="M2879" t="n">
        <v>0</v>
      </c>
      <c r="N2879" t="n">
        <v>0</v>
      </c>
      <c r="O2879" t="n">
        <v>0</v>
      </c>
      <c r="P2879" t="n">
        <v>0</v>
      </c>
      <c r="Q2879" t="n">
        <v>0</v>
      </c>
      <c r="R2879" s="2" t="inlineStr"/>
    </row>
    <row r="2880" ht="15" customHeight="1">
      <c r="A2880" t="inlineStr">
        <is>
          <t>A 34878-2019</t>
        </is>
      </c>
      <c r="B2880" s="1" t="n">
        <v>43658</v>
      </c>
      <c r="C2880" s="1" t="n">
        <v>45227</v>
      </c>
      <c r="D2880" t="inlineStr">
        <is>
          <t>VÄSTRA GÖTALANDS LÄN</t>
        </is>
      </c>
      <c r="E2880" t="inlineStr">
        <is>
          <t>BENGTSFORS</t>
        </is>
      </c>
      <c r="F2880" t="inlineStr">
        <is>
          <t>Kommuner</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34924-2019</t>
        </is>
      </c>
      <c r="B2881" s="1" t="n">
        <v>43658</v>
      </c>
      <c r="C2881" s="1" t="n">
        <v>45227</v>
      </c>
      <c r="D2881" t="inlineStr">
        <is>
          <t>VÄSTRA GÖTALANDS LÄN</t>
        </is>
      </c>
      <c r="E2881" t="inlineStr">
        <is>
          <t>BOLLEBYGD</t>
        </is>
      </c>
      <c r="F2881" t="inlineStr">
        <is>
          <t>Kommuner</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34941-2019</t>
        </is>
      </c>
      <c r="B2882" s="1" t="n">
        <v>43658</v>
      </c>
      <c r="C2882" s="1" t="n">
        <v>45227</v>
      </c>
      <c r="D2882" t="inlineStr">
        <is>
          <t>VÄSTRA GÖTALANDS LÄN</t>
        </is>
      </c>
      <c r="E2882" t="inlineStr">
        <is>
          <t>ALINGSÅS</t>
        </is>
      </c>
      <c r="F2882" t="inlineStr">
        <is>
          <t>Kyrkan</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34899-2019</t>
        </is>
      </c>
      <c r="B2883" s="1" t="n">
        <v>43658</v>
      </c>
      <c r="C2883" s="1" t="n">
        <v>45227</v>
      </c>
      <c r="D2883" t="inlineStr">
        <is>
          <t>VÄSTRA GÖTALANDS LÄN</t>
        </is>
      </c>
      <c r="E2883" t="inlineStr">
        <is>
          <t>TIDAHOLM</t>
        </is>
      </c>
      <c r="G2883" t="n">
        <v>7.2</v>
      </c>
      <c r="H2883" t="n">
        <v>0</v>
      </c>
      <c r="I2883" t="n">
        <v>0</v>
      </c>
      <c r="J2883" t="n">
        <v>0</v>
      </c>
      <c r="K2883" t="n">
        <v>0</v>
      </c>
      <c r="L2883" t="n">
        <v>0</v>
      </c>
      <c r="M2883" t="n">
        <v>0</v>
      </c>
      <c r="N2883" t="n">
        <v>0</v>
      </c>
      <c r="O2883" t="n">
        <v>0</v>
      </c>
      <c r="P2883" t="n">
        <v>0</v>
      </c>
      <c r="Q2883" t="n">
        <v>0</v>
      </c>
      <c r="R2883" s="2" t="inlineStr"/>
    </row>
    <row r="2884" ht="15" customHeight="1">
      <c r="A2884" t="inlineStr">
        <is>
          <t>A 34940-2019</t>
        </is>
      </c>
      <c r="B2884" s="1" t="n">
        <v>43658</v>
      </c>
      <c r="C2884" s="1" t="n">
        <v>45227</v>
      </c>
      <c r="D2884" t="inlineStr">
        <is>
          <t>VÄSTRA GÖTALANDS LÄN</t>
        </is>
      </c>
      <c r="E2884" t="inlineStr">
        <is>
          <t>TANUM</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34867-2019</t>
        </is>
      </c>
      <c r="B2885" s="1" t="n">
        <v>43658</v>
      </c>
      <c r="C2885" s="1" t="n">
        <v>45227</v>
      </c>
      <c r="D2885" t="inlineStr">
        <is>
          <t>VÄSTRA GÖTALANDS LÄN</t>
        </is>
      </c>
      <c r="E2885" t="inlineStr">
        <is>
          <t>STRÖMSTAD</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34947-2019</t>
        </is>
      </c>
      <c r="B2886" s="1" t="n">
        <v>43658</v>
      </c>
      <c r="C2886" s="1" t="n">
        <v>45227</v>
      </c>
      <c r="D2886" t="inlineStr">
        <is>
          <t>VÄSTRA GÖTALANDS LÄN</t>
        </is>
      </c>
      <c r="E2886" t="inlineStr">
        <is>
          <t>HÄRRYDA</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34993-2019</t>
        </is>
      </c>
      <c r="B2887" s="1" t="n">
        <v>43660</v>
      </c>
      <c r="C2887" s="1" t="n">
        <v>45227</v>
      </c>
      <c r="D2887" t="inlineStr">
        <is>
          <t>VÄSTRA GÖTALANDS LÄN</t>
        </is>
      </c>
      <c r="E2887" t="inlineStr">
        <is>
          <t>HÄRRYDA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35241-2019</t>
        </is>
      </c>
      <c r="B2888" s="1" t="n">
        <v>43662</v>
      </c>
      <c r="C2888" s="1" t="n">
        <v>45227</v>
      </c>
      <c r="D2888" t="inlineStr">
        <is>
          <t>VÄSTRA GÖTALANDS LÄN</t>
        </is>
      </c>
      <c r="E2888" t="inlineStr">
        <is>
          <t>VÄNERSBORG</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35204-2019</t>
        </is>
      </c>
      <c r="B2889" s="1" t="n">
        <v>43662</v>
      </c>
      <c r="C2889" s="1" t="n">
        <v>45227</v>
      </c>
      <c r="D2889" t="inlineStr">
        <is>
          <t>VÄSTRA GÖTALANDS LÄN</t>
        </is>
      </c>
      <c r="E2889" t="inlineStr">
        <is>
          <t>FÄRGELANDA</t>
        </is>
      </c>
      <c r="G2889" t="n">
        <v>8.199999999999999</v>
      </c>
      <c r="H2889" t="n">
        <v>0</v>
      </c>
      <c r="I2889" t="n">
        <v>0</v>
      </c>
      <c r="J2889" t="n">
        <v>0</v>
      </c>
      <c r="K2889" t="n">
        <v>0</v>
      </c>
      <c r="L2889" t="n">
        <v>0</v>
      </c>
      <c r="M2889" t="n">
        <v>0</v>
      </c>
      <c r="N2889" t="n">
        <v>0</v>
      </c>
      <c r="O2889" t="n">
        <v>0</v>
      </c>
      <c r="P2889" t="n">
        <v>0</v>
      </c>
      <c r="Q2889" t="n">
        <v>0</v>
      </c>
      <c r="R2889" s="2" t="inlineStr"/>
    </row>
    <row r="2890" ht="15" customHeight="1">
      <c r="A2890" t="inlineStr">
        <is>
          <t>A 35239-2019</t>
        </is>
      </c>
      <c r="B2890" s="1" t="n">
        <v>43662</v>
      </c>
      <c r="C2890" s="1" t="n">
        <v>45227</v>
      </c>
      <c r="D2890" t="inlineStr">
        <is>
          <t>VÄSTRA GÖTALANDS LÄN</t>
        </is>
      </c>
      <c r="E2890" t="inlineStr">
        <is>
          <t>VÄNERSBORG</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37613-2019</t>
        </is>
      </c>
      <c r="B2891" s="1" t="n">
        <v>43662</v>
      </c>
      <c r="C2891" s="1" t="n">
        <v>45227</v>
      </c>
      <c r="D2891" t="inlineStr">
        <is>
          <t>VÄSTRA GÖTALANDS LÄN</t>
        </is>
      </c>
      <c r="E2891" t="inlineStr">
        <is>
          <t>BORÅS</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35232-2019</t>
        </is>
      </c>
      <c r="B2892" s="1" t="n">
        <v>43662</v>
      </c>
      <c r="C2892" s="1" t="n">
        <v>45227</v>
      </c>
      <c r="D2892" t="inlineStr">
        <is>
          <t>VÄSTRA GÖTALANDS LÄN</t>
        </is>
      </c>
      <c r="E2892" t="inlineStr">
        <is>
          <t>ULRICEHAMN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35240-2019</t>
        </is>
      </c>
      <c r="B2893" s="1" t="n">
        <v>43662</v>
      </c>
      <c r="C2893" s="1" t="n">
        <v>45227</v>
      </c>
      <c r="D2893" t="inlineStr">
        <is>
          <t>VÄSTRA GÖTALANDS LÄN</t>
        </is>
      </c>
      <c r="E2893" t="inlineStr">
        <is>
          <t>VÄNERSBORG</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36413-2019</t>
        </is>
      </c>
      <c r="B2894" s="1" t="n">
        <v>43663</v>
      </c>
      <c r="C2894" s="1" t="n">
        <v>45227</v>
      </c>
      <c r="D2894" t="inlineStr">
        <is>
          <t>VÄSTRA GÖTALANDS LÄN</t>
        </is>
      </c>
      <c r="E2894" t="inlineStr">
        <is>
          <t>FALKÖPING</t>
        </is>
      </c>
      <c r="G2894" t="n">
        <v>8</v>
      </c>
      <c r="H2894" t="n">
        <v>0</v>
      </c>
      <c r="I2894" t="n">
        <v>0</v>
      </c>
      <c r="J2894" t="n">
        <v>0</v>
      </c>
      <c r="K2894" t="n">
        <v>0</v>
      </c>
      <c r="L2894" t="n">
        <v>0</v>
      </c>
      <c r="M2894" t="n">
        <v>0</v>
      </c>
      <c r="N2894" t="n">
        <v>0</v>
      </c>
      <c r="O2894" t="n">
        <v>0</v>
      </c>
      <c r="P2894" t="n">
        <v>0</v>
      </c>
      <c r="Q2894" t="n">
        <v>0</v>
      </c>
      <c r="R2894" s="2" t="inlineStr"/>
    </row>
    <row r="2895" ht="15" customHeight="1">
      <c r="A2895" t="inlineStr">
        <is>
          <t>A 35549-2019</t>
        </is>
      </c>
      <c r="B2895" s="1" t="n">
        <v>43664</v>
      </c>
      <c r="C2895" s="1" t="n">
        <v>45227</v>
      </c>
      <c r="D2895" t="inlineStr">
        <is>
          <t>VÄSTRA GÖTALANDS LÄN</t>
        </is>
      </c>
      <c r="E2895" t="inlineStr">
        <is>
          <t>ULRICEHAMN</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36458-2019</t>
        </is>
      </c>
      <c r="B2896" s="1" t="n">
        <v>43664</v>
      </c>
      <c r="C2896" s="1" t="n">
        <v>45227</v>
      </c>
      <c r="D2896" t="inlineStr">
        <is>
          <t>VÄSTRA GÖTALANDS LÄN</t>
        </is>
      </c>
      <c r="E2896" t="inlineStr">
        <is>
          <t>GULLSPÅNG</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35538-2019</t>
        </is>
      </c>
      <c r="B2897" s="1" t="n">
        <v>43664</v>
      </c>
      <c r="C2897" s="1" t="n">
        <v>45227</v>
      </c>
      <c r="D2897" t="inlineStr">
        <is>
          <t>VÄSTRA GÖTALANDS LÄN</t>
        </is>
      </c>
      <c r="E2897" t="inlineStr">
        <is>
          <t>KUNGÄLV</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35619-2019</t>
        </is>
      </c>
      <c r="B2898" s="1" t="n">
        <v>43664</v>
      </c>
      <c r="C2898" s="1" t="n">
        <v>45227</v>
      </c>
      <c r="D2898" t="inlineStr">
        <is>
          <t>VÄSTRA GÖTALANDS LÄN</t>
        </is>
      </c>
      <c r="E2898" t="inlineStr">
        <is>
          <t>TRANEMO</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36460-2019</t>
        </is>
      </c>
      <c r="B2899" s="1" t="n">
        <v>43664</v>
      </c>
      <c r="C2899" s="1" t="n">
        <v>45227</v>
      </c>
      <c r="D2899" t="inlineStr">
        <is>
          <t>VÄSTRA GÖTALANDS LÄN</t>
        </is>
      </c>
      <c r="E2899" t="inlineStr">
        <is>
          <t>GULLSPÅNG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35947-2019</t>
        </is>
      </c>
      <c r="B2900" s="1" t="n">
        <v>43665</v>
      </c>
      <c r="C2900" s="1" t="n">
        <v>45227</v>
      </c>
      <c r="D2900" t="inlineStr">
        <is>
          <t>VÄSTRA GÖTALANDS LÄN</t>
        </is>
      </c>
      <c r="E2900" t="inlineStr">
        <is>
          <t>UDDEVALLA</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35951-2019</t>
        </is>
      </c>
      <c r="B2901" s="1" t="n">
        <v>43665</v>
      </c>
      <c r="C2901" s="1" t="n">
        <v>45227</v>
      </c>
      <c r="D2901" t="inlineStr">
        <is>
          <t>VÄSTRA GÖTALANDS LÄN</t>
        </is>
      </c>
      <c r="E2901" t="inlineStr">
        <is>
          <t>ALINGSÅS</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35809-2019</t>
        </is>
      </c>
      <c r="B2902" s="1" t="n">
        <v>43665</v>
      </c>
      <c r="C2902" s="1" t="n">
        <v>45227</v>
      </c>
      <c r="D2902" t="inlineStr">
        <is>
          <t>VÄSTRA GÖTALANDS LÄN</t>
        </is>
      </c>
      <c r="E2902" t="inlineStr">
        <is>
          <t>UDDEVALLA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36524-2019</t>
        </is>
      </c>
      <c r="B2903" s="1" t="n">
        <v>43668</v>
      </c>
      <c r="C2903" s="1" t="n">
        <v>45227</v>
      </c>
      <c r="D2903" t="inlineStr">
        <is>
          <t>VÄSTRA GÖTALANDS LÄN</t>
        </is>
      </c>
      <c r="E2903" t="inlineStr">
        <is>
          <t>LYSEKIL</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36203-2019</t>
        </is>
      </c>
      <c r="B2904" s="1" t="n">
        <v>43669</v>
      </c>
      <c r="C2904" s="1" t="n">
        <v>45227</v>
      </c>
      <c r="D2904" t="inlineStr">
        <is>
          <t>VÄSTRA GÖTALANDS LÄN</t>
        </is>
      </c>
      <c r="E2904" t="inlineStr">
        <is>
          <t>GÖTENE</t>
        </is>
      </c>
      <c r="G2904" t="n">
        <v>6.4</v>
      </c>
      <c r="H2904" t="n">
        <v>0</v>
      </c>
      <c r="I2904" t="n">
        <v>0</v>
      </c>
      <c r="J2904" t="n">
        <v>0</v>
      </c>
      <c r="K2904" t="n">
        <v>0</v>
      </c>
      <c r="L2904" t="n">
        <v>0</v>
      </c>
      <c r="M2904" t="n">
        <v>0</v>
      </c>
      <c r="N2904" t="n">
        <v>0</v>
      </c>
      <c r="O2904" t="n">
        <v>0</v>
      </c>
      <c r="P2904" t="n">
        <v>0</v>
      </c>
      <c r="Q2904" t="n">
        <v>0</v>
      </c>
      <c r="R2904" s="2" t="inlineStr"/>
    </row>
    <row r="2905" ht="15" customHeight="1">
      <c r="A2905" t="inlineStr">
        <is>
          <t>A 36191-2019</t>
        </is>
      </c>
      <c r="B2905" s="1" t="n">
        <v>43669</v>
      </c>
      <c r="C2905" s="1" t="n">
        <v>45227</v>
      </c>
      <c r="D2905" t="inlineStr">
        <is>
          <t>VÄSTRA GÖTALANDS LÄN</t>
        </is>
      </c>
      <c r="E2905" t="inlineStr">
        <is>
          <t>HERRLJUNGA</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36338-2019</t>
        </is>
      </c>
      <c r="B2906" s="1" t="n">
        <v>43669</v>
      </c>
      <c r="C2906" s="1" t="n">
        <v>45227</v>
      </c>
      <c r="D2906" t="inlineStr">
        <is>
          <t>VÄSTRA GÖTALANDS LÄN</t>
        </is>
      </c>
      <c r="E2906" t="inlineStr">
        <is>
          <t>MELLERUD</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36634-2019</t>
        </is>
      </c>
      <c r="B2907" s="1" t="n">
        <v>43669</v>
      </c>
      <c r="C2907" s="1" t="n">
        <v>45227</v>
      </c>
      <c r="D2907" t="inlineStr">
        <is>
          <t>VÄSTRA GÖTALANDS LÄN</t>
        </is>
      </c>
      <c r="E2907" t="inlineStr">
        <is>
          <t>STENUNGSUND</t>
        </is>
      </c>
      <c r="G2907" t="n">
        <v>6.6</v>
      </c>
      <c r="H2907" t="n">
        <v>0</v>
      </c>
      <c r="I2907" t="n">
        <v>0</v>
      </c>
      <c r="J2907" t="n">
        <v>0</v>
      </c>
      <c r="K2907" t="n">
        <v>0</v>
      </c>
      <c r="L2907" t="n">
        <v>0</v>
      </c>
      <c r="M2907" t="n">
        <v>0</v>
      </c>
      <c r="N2907" t="n">
        <v>0</v>
      </c>
      <c r="O2907" t="n">
        <v>0</v>
      </c>
      <c r="P2907" t="n">
        <v>0</v>
      </c>
      <c r="Q2907" t="n">
        <v>0</v>
      </c>
      <c r="R2907" s="2" t="inlineStr"/>
    </row>
    <row r="2908" ht="15" customHeight="1">
      <c r="A2908" t="inlineStr">
        <is>
          <t>A 36401-2019</t>
        </is>
      </c>
      <c r="B2908" s="1" t="n">
        <v>43670</v>
      </c>
      <c r="C2908" s="1" t="n">
        <v>45227</v>
      </c>
      <c r="D2908" t="inlineStr">
        <is>
          <t>VÄSTRA GÖTALANDS LÄN</t>
        </is>
      </c>
      <c r="E2908" t="inlineStr">
        <is>
          <t>BENGTSFORS</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36339-2019</t>
        </is>
      </c>
      <c r="B2909" s="1" t="n">
        <v>43670</v>
      </c>
      <c r="C2909" s="1" t="n">
        <v>45227</v>
      </c>
      <c r="D2909" t="inlineStr">
        <is>
          <t>VÄSTRA GÖTALANDS LÄN</t>
        </is>
      </c>
      <c r="E2909" t="inlineStr">
        <is>
          <t>ULRICEHAMN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36567-2019</t>
        </is>
      </c>
      <c r="B2910" s="1" t="n">
        <v>43671</v>
      </c>
      <c r="C2910" s="1" t="n">
        <v>45227</v>
      </c>
      <c r="D2910" t="inlineStr">
        <is>
          <t>VÄSTRA GÖTALANDS LÄN</t>
        </is>
      </c>
      <c r="E2910" t="inlineStr">
        <is>
          <t>MARK</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36576-2019</t>
        </is>
      </c>
      <c r="B2911" s="1" t="n">
        <v>43671</v>
      </c>
      <c r="C2911" s="1" t="n">
        <v>45227</v>
      </c>
      <c r="D2911" t="inlineStr">
        <is>
          <t>VÄSTRA GÖTALANDS LÄN</t>
        </is>
      </c>
      <c r="E2911" t="inlineStr">
        <is>
          <t>SKARA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36662-2019</t>
        </is>
      </c>
      <c r="B2912" s="1" t="n">
        <v>43671</v>
      </c>
      <c r="C2912" s="1" t="n">
        <v>45227</v>
      </c>
      <c r="D2912" t="inlineStr">
        <is>
          <t>VÄSTRA GÖTALANDS LÄN</t>
        </is>
      </c>
      <c r="E2912" t="inlineStr">
        <is>
          <t>FALKÖPING</t>
        </is>
      </c>
      <c r="G2912" t="n">
        <v>5.3</v>
      </c>
      <c r="H2912" t="n">
        <v>0</v>
      </c>
      <c r="I2912" t="n">
        <v>0</v>
      </c>
      <c r="J2912" t="n">
        <v>0</v>
      </c>
      <c r="K2912" t="n">
        <v>0</v>
      </c>
      <c r="L2912" t="n">
        <v>0</v>
      </c>
      <c r="M2912" t="n">
        <v>0</v>
      </c>
      <c r="N2912" t="n">
        <v>0</v>
      </c>
      <c r="O2912" t="n">
        <v>0</v>
      </c>
      <c r="P2912" t="n">
        <v>0</v>
      </c>
      <c r="Q2912" t="n">
        <v>0</v>
      </c>
      <c r="R2912" s="2" t="inlineStr"/>
    </row>
    <row r="2913" ht="15" customHeight="1">
      <c r="A2913" t="inlineStr">
        <is>
          <t>A 36507-2019</t>
        </is>
      </c>
      <c r="B2913" s="1" t="n">
        <v>43671</v>
      </c>
      <c r="C2913" s="1" t="n">
        <v>45227</v>
      </c>
      <c r="D2913" t="inlineStr">
        <is>
          <t>VÄSTRA GÖTALANDS LÄN</t>
        </is>
      </c>
      <c r="E2913" t="inlineStr">
        <is>
          <t>TIDAHOLM</t>
        </is>
      </c>
      <c r="F2913" t="inlineStr">
        <is>
          <t>Sveaskog</t>
        </is>
      </c>
      <c r="G2913" t="n">
        <v>9.5</v>
      </c>
      <c r="H2913" t="n">
        <v>0</v>
      </c>
      <c r="I2913" t="n">
        <v>0</v>
      </c>
      <c r="J2913" t="n">
        <v>0</v>
      </c>
      <c r="K2913" t="n">
        <v>0</v>
      </c>
      <c r="L2913" t="n">
        <v>0</v>
      </c>
      <c r="M2913" t="n">
        <v>0</v>
      </c>
      <c r="N2913" t="n">
        <v>0</v>
      </c>
      <c r="O2913" t="n">
        <v>0</v>
      </c>
      <c r="P2913" t="n">
        <v>0</v>
      </c>
      <c r="Q2913" t="n">
        <v>0</v>
      </c>
      <c r="R2913" s="2" t="inlineStr"/>
    </row>
    <row r="2914" ht="15" customHeight="1">
      <c r="A2914" t="inlineStr">
        <is>
          <t>A 36768-2019</t>
        </is>
      </c>
      <c r="B2914" s="1" t="n">
        <v>43672</v>
      </c>
      <c r="C2914" s="1" t="n">
        <v>45227</v>
      </c>
      <c r="D2914" t="inlineStr">
        <is>
          <t>VÄSTRA GÖTALANDS LÄN</t>
        </is>
      </c>
      <c r="E2914" t="inlineStr">
        <is>
          <t>MARIESTAD</t>
        </is>
      </c>
      <c r="F2914" t="inlineStr">
        <is>
          <t>Kommuner</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36762-2019</t>
        </is>
      </c>
      <c r="B2915" s="1" t="n">
        <v>43672</v>
      </c>
      <c r="C2915" s="1" t="n">
        <v>45227</v>
      </c>
      <c r="D2915" t="inlineStr">
        <is>
          <t>VÄSTRA GÖTALANDS LÄN</t>
        </is>
      </c>
      <c r="E2915" t="inlineStr">
        <is>
          <t>MARIESTAD</t>
        </is>
      </c>
      <c r="F2915" t="inlineStr">
        <is>
          <t>Kommuner</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36769-2019</t>
        </is>
      </c>
      <c r="B2916" s="1" t="n">
        <v>43672</v>
      </c>
      <c r="C2916" s="1" t="n">
        <v>45227</v>
      </c>
      <c r="D2916" t="inlineStr">
        <is>
          <t>VÄSTRA GÖTALANDS LÄN</t>
        </is>
      </c>
      <c r="E2916" t="inlineStr">
        <is>
          <t>MARIESTAD</t>
        </is>
      </c>
      <c r="F2916" t="inlineStr">
        <is>
          <t>Kommuner</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36790-2019</t>
        </is>
      </c>
      <c r="B2917" s="1" t="n">
        <v>43672</v>
      </c>
      <c r="C2917" s="1" t="n">
        <v>45227</v>
      </c>
      <c r="D2917" t="inlineStr">
        <is>
          <t>VÄSTRA GÖTALANDS LÄN</t>
        </is>
      </c>
      <c r="E2917" t="inlineStr">
        <is>
          <t>HERRLJUNGA</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36764-2019</t>
        </is>
      </c>
      <c r="B2918" s="1" t="n">
        <v>43672</v>
      </c>
      <c r="C2918" s="1" t="n">
        <v>45227</v>
      </c>
      <c r="D2918" t="inlineStr">
        <is>
          <t>VÄSTRA GÖTALANDS LÄN</t>
        </is>
      </c>
      <c r="E2918" t="inlineStr">
        <is>
          <t>MARIESTAD</t>
        </is>
      </c>
      <c r="F2918" t="inlineStr">
        <is>
          <t>Kommuner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37061-2019</t>
        </is>
      </c>
      <c r="B2919" s="1" t="n">
        <v>43676</v>
      </c>
      <c r="C2919" s="1" t="n">
        <v>45227</v>
      </c>
      <c r="D2919" t="inlineStr">
        <is>
          <t>VÄSTRA GÖTALANDS LÄN</t>
        </is>
      </c>
      <c r="E2919" t="inlineStr">
        <is>
          <t>SVENLJUNGA</t>
        </is>
      </c>
      <c r="F2919" t="inlineStr">
        <is>
          <t>Sveaskog</t>
        </is>
      </c>
      <c r="G2919" t="n">
        <v>7.4</v>
      </c>
      <c r="H2919" t="n">
        <v>0</v>
      </c>
      <c r="I2919" t="n">
        <v>0</v>
      </c>
      <c r="J2919" t="n">
        <v>0</v>
      </c>
      <c r="K2919" t="n">
        <v>0</v>
      </c>
      <c r="L2919" t="n">
        <v>0</v>
      </c>
      <c r="M2919" t="n">
        <v>0</v>
      </c>
      <c r="N2919" t="n">
        <v>0</v>
      </c>
      <c r="O2919" t="n">
        <v>0</v>
      </c>
      <c r="P2919" t="n">
        <v>0</v>
      </c>
      <c r="Q2919" t="n">
        <v>0</v>
      </c>
      <c r="R2919" s="2" t="inlineStr"/>
    </row>
    <row r="2920" ht="15" customHeight="1">
      <c r="A2920" t="inlineStr">
        <is>
          <t>A 37067-2019</t>
        </is>
      </c>
      <c r="B2920" s="1" t="n">
        <v>43676</v>
      </c>
      <c r="C2920" s="1" t="n">
        <v>45227</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37059-2019</t>
        </is>
      </c>
      <c r="B2921" s="1" t="n">
        <v>43676</v>
      </c>
      <c r="C2921" s="1" t="n">
        <v>45227</v>
      </c>
      <c r="D2921" t="inlineStr">
        <is>
          <t>VÄSTRA GÖTALANDS LÄN</t>
        </is>
      </c>
      <c r="E2921" t="inlineStr">
        <is>
          <t>SVENLJUNGA</t>
        </is>
      </c>
      <c r="F2921" t="inlineStr">
        <is>
          <t>Sveaskog</t>
        </is>
      </c>
      <c r="G2921" t="n">
        <v>8.300000000000001</v>
      </c>
      <c r="H2921" t="n">
        <v>0</v>
      </c>
      <c r="I2921" t="n">
        <v>0</v>
      </c>
      <c r="J2921" t="n">
        <v>0</v>
      </c>
      <c r="K2921" t="n">
        <v>0</v>
      </c>
      <c r="L2921" t="n">
        <v>0</v>
      </c>
      <c r="M2921" t="n">
        <v>0</v>
      </c>
      <c r="N2921" t="n">
        <v>0</v>
      </c>
      <c r="O2921" t="n">
        <v>0</v>
      </c>
      <c r="P2921" t="n">
        <v>0</v>
      </c>
      <c r="Q2921" t="n">
        <v>0</v>
      </c>
      <c r="R2921" s="2" t="inlineStr"/>
    </row>
    <row r="2922" ht="15" customHeight="1">
      <c r="A2922" t="inlineStr">
        <is>
          <t>A 37080-2019</t>
        </is>
      </c>
      <c r="B2922" s="1" t="n">
        <v>43676</v>
      </c>
      <c r="C2922" s="1" t="n">
        <v>45227</v>
      </c>
      <c r="D2922" t="inlineStr">
        <is>
          <t>VÄSTRA GÖTALANDS LÄN</t>
        </is>
      </c>
      <c r="E2922" t="inlineStr">
        <is>
          <t>MELLERUD</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37068-2019</t>
        </is>
      </c>
      <c r="B2923" s="1" t="n">
        <v>43676</v>
      </c>
      <c r="C2923" s="1" t="n">
        <v>45227</v>
      </c>
      <c r="D2923" t="inlineStr">
        <is>
          <t>VÄSTRA GÖTALANDS LÄN</t>
        </is>
      </c>
      <c r="E2923" t="inlineStr">
        <is>
          <t>SVENLJUNGA</t>
        </is>
      </c>
      <c r="F2923" t="inlineStr">
        <is>
          <t>Sveaskog</t>
        </is>
      </c>
      <c r="G2923" t="n">
        <v>10.4</v>
      </c>
      <c r="H2923" t="n">
        <v>0</v>
      </c>
      <c r="I2923" t="n">
        <v>0</v>
      </c>
      <c r="J2923" t="n">
        <v>0</v>
      </c>
      <c r="K2923" t="n">
        <v>0</v>
      </c>
      <c r="L2923" t="n">
        <v>0</v>
      </c>
      <c r="M2923" t="n">
        <v>0</v>
      </c>
      <c r="N2923" t="n">
        <v>0</v>
      </c>
      <c r="O2923" t="n">
        <v>0</v>
      </c>
      <c r="P2923" t="n">
        <v>0</v>
      </c>
      <c r="Q2923" t="n">
        <v>0</v>
      </c>
      <c r="R2923" s="2" t="inlineStr"/>
    </row>
    <row r="2924" ht="15" customHeight="1">
      <c r="A2924" t="inlineStr">
        <is>
          <t>A 37029-2019</t>
        </is>
      </c>
      <c r="B2924" s="1" t="n">
        <v>43676</v>
      </c>
      <c r="C2924" s="1" t="n">
        <v>45227</v>
      </c>
      <c r="D2924" t="inlineStr">
        <is>
          <t>VÄSTRA GÖTALANDS LÄN</t>
        </is>
      </c>
      <c r="E2924" t="inlineStr">
        <is>
          <t>ESSUNGA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37057-2019</t>
        </is>
      </c>
      <c r="B2925" s="1" t="n">
        <v>43676</v>
      </c>
      <c r="C2925" s="1" t="n">
        <v>45227</v>
      </c>
      <c r="D2925" t="inlineStr">
        <is>
          <t>VÄSTRA GÖTALANDS LÄN</t>
        </is>
      </c>
      <c r="E2925" t="inlineStr">
        <is>
          <t>BORÅS</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37150-2019</t>
        </is>
      </c>
      <c r="B2926" s="1" t="n">
        <v>43677</v>
      </c>
      <c r="C2926" s="1" t="n">
        <v>45227</v>
      </c>
      <c r="D2926" t="inlineStr">
        <is>
          <t>VÄSTRA GÖTALANDS LÄN</t>
        </is>
      </c>
      <c r="E2926" t="inlineStr">
        <is>
          <t>SVENLJUNGA</t>
        </is>
      </c>
      <c r="F2926" t="inlineStr">
        <is>
          <t>Sveaskog</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37217-2019</t>
        </is>
      </c>
      <c r="B2927" s="1" t="n">
        <v>43677</v>
      </c>
      <c r="C2927" s="1" t="n">
        <v>45227</v>
      </c>
      <c r="D2927" t="inlineStr">
        <is>
          <t>VÄSTRA GÖTALANDS LÄN</t>
        </is>
      </c>
      <c r="E2927" t="inlineStr">
        <is>
          <t>MARIESTAD</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37242-2019</t>
        </is>
      </c>
      <c r="B2928" s="1" t="n">
        <v>43677</v>
      </c>
      <c r="C2928" s="1" t="n">
        <v>45227</v>
      </c>
      <c r="D2928" t="inlineStr">
        <is>
          <t>VÄSTRA GÖTALANDS LÄN</t>
        </is>
      </c>
      <c r="E2928" t="inlineStr">
        <is>
          <t>MARIESTAD</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37275-2019</t>
        </is>
      </c>
      <c r="B2929" s="1" t="n">
        <v>43677</v>
      </c>
      <c r="C2929" s="1" t="n">
        <v>45227</v>
      </c>
      <c r="D2929" t="inlineStr">
        <is>
          <t>VÄSTRA GÖTALANDS LÄN</t>
        </is>
      </c>
      <c r="E2929" t="inlineStr">
        <is>
          <t>TIBRO</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37238-2019</t>
        </is>
      </c>
      <c r="B2930" s="1" t="n">
        <v>43677</v>
      </c>
      <c r="C2930" s="1" t="n">
        <v>45227</v>
      </c>
      <c r="D2930" t="inlineStr">
        <is>
          <t>VÄSTRA GÖTALANDS LÄN</t>
        </is>
      </c>
      <c r="E2930" t="inlineStr">
        <is>
          <t>MARIESTAD</t>
        </is>
      </c>
      <c r="F2930" t="inlineStr">
        <is>
          <t>Sveaskog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37552-2019</t>
        </is>
      </c>
      <c r="B2931" s="1" t="n">
        <v>43678</v>
      </c>
      <c r="C2931" s="1" t="n">
        <v>45227</v>
      </c>
      <c r="D2931" t="inlineStr">
        <is>
          <t>VÄSTRA GÖTALANDS LÄN</t>
        </is>
      </c>
      <c r="E2931" t="inlineStr">
        <is>
          <t>BORÅS</t>
        </is>
      </c>
      <c r="F2931" t="inlineStr">
        <is>
          <t>Kommuner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37336-2019</t>
        </is>
      </c>
      <c r="B2932" s="1" t="n">
        <v>43678</v>
      </c>
      <c r="C2932" s="1" t="n">
        <v>45227</v>
      </c>
      <c r="D2932" t="inlineStr">
        <is>
          <t>VÄSTRA GÖTALANDS LÄN</t>
        </is>
      </c>
      <c r="E2932" t="inlineStr">
        <is>
          <t>MARIESTAD</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37361-2019</t>
        </is>
      </c>
      <c r="B2933" s="1" t="n">
        <v>43678</v>
      </c>
      <c r="C2933" s="1" t="n">
        <v>45227</v>
      </c>
      <c r="D2933" t="inlineStr">
        <is>
          <t>VÄSTRA GÖTALANDS LÄN</t>
        </is>
      </c>
      <c r="E2933" t="inlineStr">
        <is>
          <t>ALINGSÅS</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37614-2019</t>
        </is>
      </c>
      <c r="B2934" s="1" t="n">
        <v>43678</v>
      </c>
      <c r="C2934" s="1" t="n">
        <v>45227</v>
      </c>
      <c r="D2934" t="inlineStr">
        <is>
          <t>VÄSTRA GÖTALANDS LÄN</t>
        </is>
      </c>
      <c r="E2934" t="inlineStr">
        <is>
          <t>MARK</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37550-2019</t>
        </is>
      </c>
      <c r="B2935" s="1" t="n">
        <v>43679</v>
      </c>
      <c r="C2935" s="1" t="n">
        <v>45227</v>
      </c>
      <c r="D2935" t="inlineStr">
        <is>
          <t>VÄSTRA GÖTALANDS LÄN</t>
        </is>
      </c>
      <c r="E2935" t="inlineStr">
        <is>
          <t>MARK</t>
        </is>
      </c>
      <c r="F2935" t="inlineStr">
        <is>
          <t>Kyrkan</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37502-2019</t>
        </is>
      </c>
      <c r="B2936" s="1" t="n">
        <v>43679</v>
      </c>
      <c r="C2936" s="1" t="n">
        <v>45227</v>
      </c>
      <c r="D2936" t="inlineStr">
        <is>
          <t>VÄSTRA GÖTALANDS LÄN</t>
        </is>
      </c>
      <c r="E2936" t="inlineStr">
        <is>
          <t>FÄRGELANDA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37611-2019</t>
        </is>
      </c>
      <c r="B2937" s="1" t="n">
        <v>43681</v>
      </c>
      <c r="C2937" s="1" t="n">
        <v>45227</v>
      </c>
      <c r="D2937" t="inlineStr">
        <is>
          <t>VÄSTRA GÖTALANDS LÄN</t>
        </is>
      </c>
      <c r="E2937" t="inlineStr">
        <is>
          <t>VÅRGÅRDA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37858-2019</t>
        </is>
      </c>
      <c r="B2938" s="1" t="n">
        <v>43682</v>
      </c>
      <c r="C2938" s="1" t="n">
        <v>45227</v>
      </c>
      <c r="D2938" t="inlineStr">
        <is>
          <t>VÄSTRA GÖTALANDS LÄN</t>
        </is>
      </c>
      <c r="E2938" t="inlineStr">
        <is>
          <t>MARK</t>
        </is>
      </c>
      <c r="F2938" t="inlineStr">
        <is>
          <t>Kyrkan</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37861-2019</t>
        </is>
      </c>
      <c r="B2939" s="1" t="n">
        <v>43682</v>
      </c>
      <c r="C2939" s="1" t="n">
        <v>45227</v>
      </c>
      <c r="D2939" t="inlineStr">
        <is>
          <t>VÄSTRA GÖTALANDS LÄN</t>
        </is>
      </c>
      <c r="E2939" t="inlineStr">
        <is>
          <t>TIDAHOLM</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38090-2019</t>
        </is>
      </c>
      <c r="B2940" s="1" t="n">
        <v>43682</v>
      </c>
      <c r="C2940" s="1" t="n">
        <v>45227</v>
      </c>
      <c r="D2940" t="inlineStr">
        <is>
          <t>VÄSTRA GÖTALANDS LÄN</t>
        </is>
      </c>
      <c r="E2940" t="inlineStr">
        <is>
          <t>BORÅS</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37864-2019</t>
        </is>
      </c>
      <c r="B2941" s="1" t="n">
        <v>43682</v>
      </c>
      <c r="C2941" s="1" t="n">
        <v>45227</v>
      </c>
      <c r="D2941" t="inlineStr">
        <is>
          <t>VÄSTRA GÖTALANDS LÄN</t>
        </is>
      </c>
      <c r="E2941" t="inlineStr">
        <is>
          <t>TROLLHÄTTAN</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37674-2019</t>
        </is>
      </c>
      <c r="B2942" s="1" t="n">
        <v>43682</v>
      </c>
      <c r="C2942" s="1" t="n">
        <v>45227</v>
      </c>
      <c r="D2942" t="inlineStr">
        <is>
          <t>VÄSTRA GÖTALANDS LÄN</t>
        </is>
      </c>
      <c r="E2942" t="inlineStr">
        <is>
          <t>LIDKÖPING</t>
        </is>
      </c>
      <c r="G2942" t="n">
        <v>2.7</v>
      </c>
      <c r="H2942" t="n">
        <v>0</v>
      </c>
      <c r="I2942" t="n">
        <v>0</v>
      </c>
      <c r="J2942" t="n">
        <v>0</v>
      </c>
      <c r="K2942" t="n">
        <v>0</v>
      </c>
      <c r="L2942" t="n">
        <v>0</v>
      </c>
      <c r="M2942" t="n">
        <v>0</v>
      </c>
      <c r="N2942" t="n">
        <v>0</v>
      </c>
      <c r="O2942" t="n">
        <v>0</v>
      </c>
      <c r="P2942" t="n">
        <v>0</v>
      </c>
      <c r="Q2942" t="n">
        <v>0</v>
      </c>
      <c r="R2942" s="2" t="inlineStr"/>
    </row>
    <row r="2943" ht="15" customHeight="1">
      <c r="A2943" t="inlineStr">
        <is>
          <t>A 37941-2019</t>
        </is>
      </c>
      <c r="B2943" s="1" t="n">
        <v>43683</v>
      </c>
      <c r="C2943" s="1" t="n">
        <v>45227</v>
      </c>
      <c r="D2943" t="inlineStr">
        <is>
          <t>VÄSTRA GÖTALANDS LÄN</t>
        </is>
      </c>
      <c r="E2943" t="inlineStr">
        <is>
          <t>KARLSBORG</t>
        </is>
      </c>
      <c r="F2943" t="inlineStr">
        <is>
          <t>Sveaskog</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38408-2019</t>
        </is>
      </c>
      <c r="B2944" s="1" t="n">
        <v>43683</v>
      </c>
      <c r="C2944" s="1" t="n">
        <v>45227</v>
      </c>
      <c r="D2944" t="inlineStr">
        <is>
          <t>VÄSTRA GÖTALANDS LÄN</t>
        </is>
      </c>
      <c r="E2944" t="inlineStr">
        <is>
          <t>VARA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37917-2019</t>
        </is>
      </c>
      <c r="B2945" s="1" t="n">
        <v>43683</v>
      </c>
      <c r="C2945" s="1" t="n">
        <v>45227</v>
      </c>
      <c r="D2945" t="inlineStr">
        <is>
          <t>VÄSTRA GÖTALANDS LÄN</t>
        </is>
      </c>
      <c r="E2945" t="inlineStr">
        <is>
          <t>GÖTENE</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38444-2019</t>
        </is>
      </c>
      <c r="B2946" s="1" t="n">
        <v>43683</v>
      </c>
      <c r="C2946" s="1" t="n">
        <v>45227</v>
      </c>
      <c r="D2946" t="inlineStr">
        <is>
          <t>VÄSTRA GÖTALANDS LÄN</t>
        </is>
      </c>
      <c r="E2946" t="inlineStr">
        <is>
          <t>LIDKÖPING</t>
        </is>
      </c>
      <c r="G2946" t="n">
        <v>6.8</v>
      </c>
      <c r="H2946" t="n">
        <v>0</v>
      </c>
      <c r="I2946" t="n">
        <v>0</v>
      </c>
      <c r="J2946" t="n">
        <v>0</v>
      </c>
      <c r="K2946" t="n">
        <v>0</v>
      </c>
      <c r="L2946" t="n">
        <v>0</v>
      </c>
      <c r="M2946" t="n">
        <v>0</v>
      </c>
      <c r="N2946" t="n">
        <v>0</v>
      </c>
      <c r="O2946" t="n">
        <v>0</v>
      </c>
      <c r="P2946" t="n">
        <v>0</v>
      </c>
      <c r="Q2946" t="n">
        <v>0</v>
      </c>
      <c r="R2946" s="2" t="inlineStr"/>
    </row>
    <row r="2947" ht="15" customHeight="1">
      <c r="A2947" t="inlineStr">
        <is>
          <t>A 37949-2019</t>
        </is>
      </c>
      <c r="B2947" s="1" t="n">
        <v>43683</v>
      </c>
      <c r="C2947" s="1" t="n">
        <v>45227</v>
      </c>
      <c r="D2947" t="inlineStr">
        <is>
          <t>VÄSTRA GÖTALANDS LÄN</t>
        </is>
      </c>
      <c r="E2947" t="inlineStr">
        <is>
          <t>KARLSBORG</t>
        </is>
      </c>
      <c r="F2947" t="inlineStr">
        <is>
          <t>Sveaskog</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37957-2019</t>
        </is>
      </c>
      <c r="B2948" s="1" t="n">
        <v>43683</v>
      </c>
      <c r="C2948" s="1" t="n">
        <v>45227</v>
      </c>
      <c r="D2948" t="inlineStr">
        <is>
          <t>VÄSTRA GÖTALANDS LÄN</t>
        </is>
      </c>
      <c r="E2948" t="inlineStr">
        <is>
          <t>BENGTSFORS</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37938-2019</t>
        </is>
      </c>
      <c r="B2949" s="1" t="n">
        <v>43683</v>
      </c>
      <c r="C2949" s="1" t="n">
        <v>45227</v>
      </c>
      <c r="D2949" t="inlineStr">
        <is>
          <t>VÄSTRA GÖTALANDS LÄN</t>
        </is>
      </c>
      <c r="E2949" t="inlineStr">
        <is>
          <t>HJO</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37964-2019</t>
        </is>
      </c>
      <c r="B2950" s="1" t="n">
        <v>43683</v>
      </c>
      <c r="C2950" s="1" t="n">
        <v>45227</v>
      </c>
      <c r="D2950" t="inlineStr">
        <is>
          <t>VÄSTRA GÖTALANDS LÄN</t>
        </is>
      </c>
      <c r="E2950" t="inlineStr">
        <is>
          <t>ÅMÅL</t>
        </is>
      </c>
      <c r="G2950" t="n">
        <v>5.4</v>
      </c>
      <c r="H2950" t="n">
        <v>0</v>
      </c>
      <c r="I2950" t="n">
        <v>0</v>
      </c>
      <c r="J2950" t="n">
        <v>0</v>
      </c>
      <c r="K2950" t="n">
        <v>0</v>
      </c>
      <c r="L2950" t="n">
        <v>0</v>
      </c>
      <c r="M2950" t="n">
        <v>0</v>
      </c>
      <c r="N2950" t="n">
        <v>0</v>
      </c>
      <c r="O2950" t="n">
        <v>0</v>
      </c>
      <c r="P2950" t="n">
        <v>0</v>
      </c>
      <c r="Q2950" t="n">
        <v>0</v>
      </c>
      <c r="R2950" s="2" t="inlineStr"/>
    </row>
    <row r="2951" ht="15" customHeight="1">
      <c r="A2951" t="inlineStr">
        <is>
          <t>A 38029-2019</t>
        </is>
      </c>
      <c r="B2951" s="1" t="n">
        <v>43683</v>
      </c>
      <c r="C2951" s="1" t="n">
        <v>45227</v>
      </c>
      <c r="D2951" t="inlineStr">
        <is>
          <t>VÄSTRA GÖTALANDS LÄN</t>
        </is>
      </c>
      <c r="E2951" t="inlineStr">
        <is>
          <t>VÅRGÅRDA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38043-2019</t>
        </is>
      </c>
      <c r="B2952" s="1" t="n">
        <v>43683</v>
      </c>
      <c r="C2952" s="1" t="n">
        <v>45227</v>
      </c>
      <c r="D2952" t="inlineStr">
        <is>
          <t>VÄSTRA GÖTALANDS LÄN</t>
        </is>
      </c>
      <c r="E2952" t="inlineStr">
        <is>
          <t>VÅRGÅRDA</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38192-2019</t>
        </is>
      </c>
      <c r="B2953" s="1" t="n">
        <v>43684</v>
      </c>
      <c r="C2953" s="1" t="n">
        <v>45227</v>
      </c>
      <c r="D2953" t="inlineStr">
        <is>
          <t>VÄSTRA GÖTALANDS LÄN</t>
        </is>
      </c>
      <c r="E2953" t="inlineStr">
        <is>
          <t>ALINGSÅS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38302-2019</t>
        </is>
      </c>
      <c r="B2954" s="1" t="n">
        <v>43684</v>
      </c>
      <c r="C2954" s="1" t="n">
        <v>45227</v>
      </c>
      <c r="D2954" t="inlineStr">
        <is>
          <t>VÄSTRA GÖTALANDS LÄN</t>
        </is>
      </c>
      <c r="E2954" t="inlineStr">
        <is>
          <t>FÄRGELANDA</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38195-2019</t>
        </is>
      </c>
      <c r="B2955" s="1" t="n">
        <v>43684</v>
      </c>
      <c r="C2955" s="1" t="n">
        <v>45227</v>
      </c>
      <c r="D2955" t="inlineStr">
        <is>
          <t>VÄSTRA GÖTALANDS LÄN</t>
        </is>
      </c>
      <c r="E2955" t="inlineStr">
        <is>
          <t>ALINGSÅS</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38292-2019</t>
        </is>
      </c>
      <c r="B2956" s="1" t="n">
        <v>43684</v>
      </c>
      <c r="C2956" s="1" t="n">
        <v>45227</v>
      </c>
      <c r="D2956" t="inlineStr">
        <is>
          <t>VÄSTRA GÖTALANDS LÄN</t>
        </is>
      </c>
      <c r="E2956" t="inlineStr">
        <is>
          <t>ULRICEHAMN</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38496-2019</t>
        </is>
      </c>
      <c r="B2957" s="1" t="n">
        <v>43685</v>
      </c>
      <c r="C2957" s="1" t="n">
        <v>45227</v>
      </c>
      <c r="D2957" t="inlineStr">
        <is>
          <t>VÄSTRA GÖTALANDS LÄN</t>
        </is>
      </c>
      <c r="E2957" t="inlineStr">
        <is>
          <t>KARLSBORG</t>
        </is>
      </c>
      <c r="G2957" t="n">
        <v>5.7</v>
      </c>
      <c r="H2957" t="n">
        <v>0</v>
      </c>
      <c r="I2957" t="n">
        <v>0</v>
      </c>
      <c r="J2957" t="n">
        <v>0</v>
      </c>
      <c r="K2957" t="n">
        <v>0</v>
      </c>
      <c r="L2957" t="n">
        <v>0</v>
      </c>
      <c r="M2957" t="n">
        <v>0</v>
      </c>
      <c r="N2957" t="n">
        <v>0</v>
      </c>
      <c r="O2957" t="n">
        <v>0</v>
      </c>
      <c r="P2957" t="n">
        <v>0</v>
      </c>
      <c r="Q2957" t="n">
        <v>0</v>
      </c>
      <c r="R2957" s="2" t="inlineStr"/>
    </row>
    <row r="2958" ht="15" customHeight="1">
      <c r="A2958" t="inlineStr">
        <is>
          <t>A 38553-2019</t>
        </is>
      </c>
      <c r="B2958" s="1" t="n">
        <v>43685</v>
      </c>
      <c r="C2958" s="1" t="n">
        <v>45227</v>
      </c>
      <c r="D2958" t="inlineStr">
        <is>
          <t>VÄSTRA GÖTALANDS LÄN</t>
        </is>
      </c>
      <c r="E2958" t="inlineStr">
        <is>
          <t>FALKÖPING</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38502-2019</t>
        </is>
      </c>
      <c r="B2959" s="1" t="n">
        <v>43685</v>
      </c>
      <c r="C2959" s="1" t="n">
        <v>45227</v>
      </c>
      <c r="D2959" t="inlineStr">
        <is>
          <t>VÄSTRA GÖTALANDS LÄN</t>
        </is>
      </c>
      <c r="E2959" t="inlineStr">
        <is>
          <t>DALS-ED</t>
        </is>
      </c>
      <c r="G2959" t="n">
        <v>15.9</v>
      </c>
      <c r="H2959" t="n">
        <v>0</v>
      </c>
      <c r="I2959" t="n">
        <v>0</v>
      </c>
      <c r="J2959" t="n">
        <v>0</v>
      </c>
      <c r="K2959" t="n">
        <v>0</v>
      </c>
      <c r="L2959" t="n">
        <v>0</v>
      </c>
      <c r="M2959" t="n">
        <v>0</v>
      </c>
      <c r="N2959" t="n">
        <v>0</v>
      </c>
      <c r="O2959" t="n">
        <v>0</v>
      </c>
      <c r="P2959" t="n">
        <v>0</v>
      </c>
      <c r="Q2959" t="n">
        <v>0</v>
      </c>
      <c r="R2959" s="2" t="inlineStr"/>
    </row>
    <row r="2960" ht="15" customHeight="1">
      <c r="A2960" t="inlineStr">
        <is>
          <t>A 38501-2019</t>
        </is>
      </c>
      <c r="B2960" s="1" t="n">
        <v>43685</v>
      </c>
      <c r="C2960" s="1" t="n">
        <v>45227</v>
      </c>
      <c r="D2960" t="inlineStr">
        <is>
          <t>VÄSTRA GÖTALANDS LÄN</t>
        </is>
      </c>
      <c r="E2960" t="inlineStr">
        <is>
          <t>KARLSBORG</t>
        </is>
      </c>
      <c r="G2960" t="n">
        <v>7</v>
      </c>
      <c r="H2960" t="n">
        <v>0</v>
      </c>
      <c r="I2960" t="n">
        <v>0</v>
      </c>
      <c r="J2960" t="n">
        <v>0</v>
      </c>
      <c r="K2960" t="n">
        <v>0</v>
      </c>
      <c r="L2960" t="n">
        <v>0</v>
      </c>
      <c r="M2960" t="n">
        <v>0</v>
      </c>
      <c r="N2960" t="n">
        <v>0</v>
      </c>
      <c r="O2960" t="n">
        <v>0</v>
      </c>
      <c r="P2960" t="n">
        <v>0</v>
      </c>
      <c r="Q2960" t="n">
        <v>0</v>
      </c>
      <c r="R2960" s="2" t="inlineStr"/>
    </row>
    <row r="2961" ht="15" customHeight="1">
      <c r="A2961" t="inlineStr">
        <is>
          <t>A 38512-2019</t>
        </is>
      </c>
      <c r="B2961" s="1" t="n">
        <v>43685</v>
      </c>
      <c r="C2961" s="1" t="n">
        <v>45227</v>
      </c>
      <c r="D2961" t="inlineStr">
        <is>
          <t>VÄSTRA GÖTALANDS LÄN</t>
        </is>
      </c>
      <c r="E2961" t="inlineStr">
        <is>
          <t>DALS-ED</t>
        </is>
      </c>
      <c r="G2961" t="n">
        <v>24.8</v>
      </c>
      <c r="H2961" t="n">
        <v>0</v>
      </c>
      <c r="I2961" t="n">
        <v>0</v>
      </c>
      <c r="J2961" t="n">
        <v>0</v>
      </c>
      <c r="K2961" t="n">
        <v>0</v>
      </c>
      <c r="L2961" t="n">
        <v>0</v>
      </c>
      <c r="M2961" t="n">
        <v>0</v>
      </c>
      <c r="N2961" t="n">
        <v>0</v>
      </c>
      <c r="O2961" t="n">
        <v>0</v>
      </c>
      <c r="P2961" t="n">
        <v>0</v>
      </c>
      <c r="Q2961" t="n">
        <v>0</v>
      </c>
      <c r="R2961" s="2" t="inlineStr"/>
    </row>
    <row r="2962" ht="15" customHeight="1">
      <c r="A2962" t="inlineStr">
        <is>
          <t>A 39195-2019</t>
        </is>
      </c>
      <c r="B2962" s="1" t="n">
        <v>43685</v>
      </c>
      <c r="C2962" s="1" t="n">
        <v>45227</v>
      </c>
      <c r="D2962" t="inlineStr">
        <is>
          <t>VÄSTRA GÖTALANDS LÄN</t>
        </is>
      </c>
      <c r="E2962" t="inlineStr">
        <is>
          <t>LIDKÖPING</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38503-2019</t>
        </is>
      </c>
      <c r="B2963" s="1" t="n">
        <v>43685</v>
      </c>
      <c r="C2963" s="1" t="n">
        <v>45227</v>
      </c>
      <c r="D2963" t="inlineStr">
        <is>
          <t>VÄSTRA GÖTALANDS LÄN</t>
        </is>
      </c>
      <c r="E2963" t="inlineStr">
        <is>
          <t>KARLSBORG</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38517-2019</t>
        </is>
      </c>
      <c r="B2964" s="1" t="n">
        <v>43685</v>
      </c>
      <c r="C2964" s="1" t="n">
        <v>45227</v>
      </c>
      <c r="D2964" t="inlineStr">
        <is>
          <t>VÄSTRA GÖTALANDS LÄN</t>
        </is>
      </c>
      <c r="E2964" t="inlineStr">
        <is>
          <t>SKARA</t>
        </is>
      </c>
      <c r="G2964" t="n">
        <v>8.699999999999999</v>
      </c>
      <c r="H2964" t="n">
        <v>0</v>
      </c>
      <c r="I2964" t="n">
        <v>0</v>
      </c>
      <c r="J2964" t="n">
        <v>0</v>
      </c>
      <c r="K2964" t="n">
        <v>0</v>
      </c>
      <c r="L2964" t="n">
        <v>0</v>
      </c>
      <c r="M2964" t="n">
        <v>0</v>
      </c>
      <c r="N2964" t="n">
        <v>0</v>
      </c>
      <c r="O2964" t="n">
        <v>0</v>
      </c>
      <c r="P2964" t="n">
        <v>0</v>
      </c>
      <c r="Q2964" t="n">
        <v>0</v>
      </c>
      <c r="R2964" s="2" t="inlineStr"/>
    </row>
    <row r="2965" ht="15" customHeight="1">
      <c r="A2965" t="inlineStr">
        <is>
          <t>A 38536-2019</t>
        </is>
      </c>
      <c r="B2965" s="1" t="n">
        <v>43685</v>
      </c>
      <c r="C2965" s="1" t="n">
        <v>45227</v>
      </c>
      <c r="D2965" t="inlineStr">
        <is>
          <t>VÄSTRA GÖTALANDS LÄN</t>
        </is>
      </c>
      <c r="E2965" t="inlineStr">
        <is>
          <t>KARLSBORG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38552-2019</t>
        </is>
      </c>
      <c r="B2966" s="1" t="n">
        <v>43685</v>
      </c>
      <c r="C2966" s="1" t="n">
        <v>45227</v>
      </c>
      <c r="D2966" t="inlineStr">
        <is>
          <t>VÄSTRA GÖTALANDS LÄN</t>
        </is>
      </c>
      <c r="E2966" t="inlineStr">
        <is>
          <t>FALKÖPING</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38754-2019</t>
        </is>
      </c>
      <c r="B2967" s="1" t="n">
        <v>43686</v>
      </c>
      <c r="C2967" s="1" t="n">
        <v>45227</v>
      </c>
      <c r="D2967" t="inlineStr">
        <is>
          <t>VÄSTRA GÖTALANDS LÄN</t>
        </is>
      </c>
      <c r="E2967" t="inlineStr">
        <is>
          <t>FÄRGELANDA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38705-2019</t>
        </is>
      </c>
      <c r="B2968" s="1" t="n">
        <v>43686</v>
      </c>
      <c r="C2968" s="1" t="n">
        <v>45227</v>
      </c>
      <c r="D2968" t="inlineStr">
        <is>
          <t>VÄSTRA GÖTALANDS LÄN</t>
        </is>
      </c>
      <c r="E2968" t="inlineStr">
        <is>
          <t>SKÖVDE</t>
        </is>
      </c>
      <c r="F2968" t="inlineStr">
        <is>
          <t>Kommuner</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39623-2019</t>
        </is>
      </c>
      <c r="B2969" s="1" t="n">
        <v>43686</v>
      </c>
      <c r="C2969" s="1" t="n">
        <v>45227</v>
      </c>
      <c r="D2969" t="inlineStr">
        <is>
          <t>VÄSTRA GÖTALANDS LÄN</t>
        </is>
      </c>
      <c r="E2969" t="inlineStr">
        <is>
          <t>TIBRO</t>
        </is>
      </c>
      <c r="G2969" t="n">
        <v>4.1</v>
      </c>
      <c r="H2969" t="n">
        <v>0</v>
      </c>
      <c r="I2969" t="n">
        <v>0</v>
      </c>
      <c r="J2969" t="n">
        <v>0</v>
      </c>
      <c r="K2969" t="n">
        <v>0</v>
      </c>
      <c r="L2969" t="n">
        <v>0</v>
      </c>
      <c r="M2969" t="n">
        <v>0</v>
      </c>
      <c r="N2969" t="n">
        <v>0</v>
      </c>
      <c r="O2969" t="n">
        <v>0</v>
      </c>
      <c r="P2969" t="n">
        <v>0</v>
      </c>
      <c r="Q2969" t="n">
        <v>0</v>
      </c>
      <c r="R2969" s="2" t="inlineStr"/>
    </row>
    <row r="2970" ht="15" customHeight="1">
      <c r="A2970" t="inlineStr">
        <is>
          <t>A 38730-2019</t>
        </is>
      </c>
      <c r="B2970" s="1" t="n">
        <v>43686</v>
      </c>
      <c r="C2970" s="1" t="n">
        <v>45227</v>
      </c>
      <c r="D2970" t="inlineStr">
        <is>
          <t>VÄSTRA GÖTALANDS LÄN</t>
        </is>
      </c>
      <c r="E2970" t="inlineStr">
        <is>
          <t>ALINGSÅS</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39660-2019</t>
        </is>
      </c>
      <c r="B2971" s="1" t="n">
        <v>43686</v>
      </c>
      <c r="C2971" s="1" t="n">
        <v>45227</v>
      </c>
      <c r="D2971" t="inlineStr">
        <is>
          <t>VÄSTRA GÖTALANDS LÄN</t>
        </is>
      </c>
      <c r="E2971" t="inlineStr">
        <is>
          <t>VARA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38947-2019</t>
        </is>
      </c>
      <c r="B2972" s="1" t="n">
        <v>43689</v>
      </c>
      <c r="C2972" s="1" t="n">
        <v>45227</v>
      </c>
      <c r="D2972" t="inlineStr">
        <is>
          <t>VÄSTRA GÖTALANDS LÄN</t>
        </is>
      </c>
      <c r="E2972" t="inlineStr">
        <is>
          <t>VÄNERSBORG</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38965-2019</t>
        </is>
      </c>
      <c r="B2973" s="1" t="n">
        <v>43689</v>
      </c>
      <c r="C2973" s="1" t="n">
        <v>45227</v>
      </c>
      <c r="D2973" t="inlineStr">
        <is>
          <t>VÄSTRA GÖTALANDS LÄN</t>
        </is>
      </c>
      <c r="E2973" t="inlineStr">
        <is>
          <t>SKÖVDE</t>
        </is>
      </c>
      <c r="F2973" t="inlineStr">
        <is>
          <t>Kommuner</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38999-2019</t>
        </is>
      </c>
      <c r="B2974" s="1" t="n">
        <v>43689</v>
      </c>
      <c r="C2974" s="1" t="n">
        <v>45227</v>
      </c>
      <c r="D2974" t="inlineStr">
        <is>
          <t>VÄSTRA GÖTALANDS LÄN</t>
        </is>
      </c>
      <c r="E2974" t="inlineStr">
        <is>
          <t>GÖTENE</t>
        </is>
      </c>
      <c r="F2974" t="inlineStr">
        <is>
          <t>Övriga Aktiebolag</t>
        </is>
      </c>
      <c r="G2974" t="n">
        <v>0.4</v>
      </c>
      <c r="H2974" t="n">
        <v>0</v>
      </c>
      <c r="I2974" t="n">
        <v>0</v>
      </c>
      <c r="J2974" t="n">
        <v>0</v>
      </c>
      <c r="K2974" t="n">
        <v>0</v>
      </c>
      <c r="L2974" t="n">
        <v>0</v>
      </c>
      <c r="M2974" t="n">
        <v>0</v>
      </c>
      <c r="N2974" t="n">
        <v>0</v>
      </c>
      <c r="O2974" t="n">
        <v>0</v>
      </c>
      <c r="P2974" t="n">
        <v>0</v>
      </c>
      <c r="Q2974" t="n">
        <v>0</v>
      </c>
      <c r="R2974" s="2" t="inlineStr"/>
    </row>
    <row r="2975" ht="15" customHeight="1">
      <c r="A2975" t="inlineStr">
        <is>
          <t>A 39688-2019</t>
        </is>
      </c>
      <c r="B2975" s="1" t="n">
        <v>43689</v>
      </c>
      <c r="C2975" s="1" t="n">
        <v>45227</v>
      </c>
      <c r="D2975" t="inlineStr">
        <is>
          <t>VÄSTRA GÖTALANDS LÄN</t>
        </is>
      </c>
      <c r="E2975" t="inlineStr">
        <is>
          <t>ULRICEHAMN</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39041-2019</t>
        </is>
      </c>
      <c r="B2976" s="1" t="n">
        <v>43689</v>
      </c>
      <c r="C2976" s="1" t="n">
        <v>45227</v>
      </c>
      <c r="D2976" t="inlineStr">
        <is>
          <t>VÄSTRA GÖTALANDS LÄN</t>
        </is>
      </c>
      <c r="E2976" t="inlineStr">
        <is>
          <t>MARIESTAD</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39695-2019</t>
        </is>
      </c>
      <c r="B2977" s="1" t="n">
        <v>43689</v>
      </c>
      <c r="C2977" s="1" t="n">
        <v>45227</v>
      </c>
      <c r="D2977" t="inlineStr">
        <is>
          <t>VÄSTRA GÖTALANDS LÄN</t>
        </is>
      </c>
      <c r="E2977" t="inlineStr">
        <is>
          <t>ULRICEHAMN</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39062-2019</t>
        </is>
      </c>
      <c r="B2978" s="1" t="n">
        <v>43689</v>
      </c>
      <c r="C2978" s="1" t="n">
        <v>45227</v>
      </c>
      <c r="D2978" t="inlineStr">
        <is>
          <t>VÄSTRA GÖTALANDS LÄN</t>
        </is>
      </c>
      <c r="E2978" t="inlineStr">
        <is>
          <t>DALS-ED</t>
        </is>
      </c>
      <c r="F2978" t="inlineStr">
        <is>
          <t>Övriga Aktiebolag</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39197-2019</t>
        </is>
      </c>
      <c r="B2979" s="1" t="n">
        <v>43690</v>
      </c>
      <c r="C2979" s="1" t="n">
        <v>45227</v>
      </c>
      <c r="D2979" t="inlineStr">
        <is>
          <t>VÄSTRA GÖTALANDS LÄN</t>
        </is>
      </c>
      <c r="E2979" t="inlineStr">
        <is>
          <t>ÅMÅL</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39240-2019</t>
        </is>
      </c>
      <c r="B2980" s="1" t="n">
        <v>43690</v>
      </c>
      <c r="C2980" s="1" t="n">
        <v>45227</v>
      </c>
      <c r="D2980" t="inlineStr">
        <is>
          <t>VÄSTRA GÖTALANDS LÄN</t>
        </is>
      </c>
      <c r="E2980" t="inlineStr">
        <is>
          <t>ÅMÅL</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39250-2019</t>
        </is>
      </c>
      <c r="B2981" s="1" t="n">
        <v>43690</v>
      </c>
      <c r="C2981" s="1" t="n">
        <v>45227</v>
      </c>
      <c r="D2981" t="inlineStr">
        <is>
          <t>VÄSTRA GÖTALANDS LÄN</t>
        </is>
      </c>
      <c r="E2981" t="inlineStr">
        <is>
          <t>LYSEKIL</t>
        </is>
      </c>
      <c r="G2981" t="n">
        <v>9.199999999999999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39289-2019</t>
        </is>
      </c>
      <c r="B2982" s="1" t="n">
        <v>43690</v>
      </c>
      <c r="C2982" s="1" t="n">
        <v>45227</v>
      </c>
      <c r="D2982" t="inlineStr">
        <is>
          <t>VÄSTRA GÖTALANDS LÄN</t>
        </is>
      </c>
      <c r="E2982" t="inlineStr">
        <is>
          <t>BENGTSFORS</t>
        </is>
      </c>
      <c r="G2982" t="n">
        <v>8.9</v>
      </c>
      <c r="H2982" t="n">
        <v>0</v>
      </c>
      <c r="I2982" t="n">
        <v>0</v>
      </c>
      <c r="J2982" t="n">
        <v>0</v>
      </c>
      <c r="K2982" t="n">
        <v>0</v>
      </c>
      <c r="L2982" t="n">
        <v>0</v>
      </c>
      <c r="M2982" t="n">
        <v>0</v>
      </c>
      <c r="N2982" t="n">
        <v>0</v>
      </c>
      <c r="O2982" t="n">
        <v>0</v>
      </c>
      <c r="P2982" t="n">
        <v>0</v>
      </c>
      <c r="Q2982" t="n">
        <v>0</v>
      </c>
      <c r="R2982" s="2" t="inlineStr"/>
    </row>
    <row r="2983" ht="15" customHeight="1">
      <c r="A2983" t="inlineStr">
        <is>
          <t>A 39385-2019</t>
        </is>
      </c>
      <c r="B2983" s="1" t="n">
        <v>43690</v>
      </c>
      <c r="C2983" s="1" t="n">
        <v>45227</v>
      </c>
      <c r="D2983" t="inlineStr">
        <is>
          <t>VÄSTRA GÖTALANDS LÄN</t>
        </is>
      </c>
      <c r="E2983" t="inlineStr">
        <is>
          <t>ULRICEHAMN</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39252-2019</t>
        </is>
      </c>
      <c r="B2984" s="1" t="n">
        <v>43690</v>
      </c>
      <c r="C2984" s="1" t="n">
        <v>45227</v>
      </c>
      <c r="D2984" t="inlineStr">
        <is>
          <t>VÄSTRA GÖTALANDS LÄN</t>
        </is>
      </c>
      <c r="E2984" t="inlineStr">
        <is>
          <t>SKÖVDE</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39338-2019</t>
        </is>
      </c>
      <c r="B2985" s="1" t="n">
        <v>43690</v>
      </c>
      <c r="C2985" s="1" t="n">
        <v>45227</v>
      </c>
      <c r="D2985" t="inlineStr">
        <is>
          <t>VÄSTRA GÖTALANDS LÄN</t>
        </is>
      </c>
      <c r="E2985" t="inlineStr">
        <is>
          <t>BORÅS</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39363-2019</t>
        </is>
      </c>
      <c r="B2986" s="1" t="n">
        <v>43690</v>
      </c>
      <c r="C2986" s="1" t="n">
        <v>45227</v>
      </c>
      <c r="D2986" t="inlineStr">
        <is>
          <t>VÄSTRA GÖTALANDS LÄN</t>
        </is>
      </c>
      <c r="E2986" t="inlineStr">
        <is>
          <t>VARA</t>
        </is>
      </c>
      <c r="G2986" t="n">
        <v>6.6</v>
      </c>
      <c r="H2986" t="n">
        <v>0</v>
      </c>
      <c r="I2986" t="n">
        <v>0</v>
      </c>
      <c r="J2986" t="n">
        <v>0</v>
      </c>
      <c r="K2986" t="n">
        <v>0</v>
      </c>
      <c r="L2986" t="n">
        <v>0</v>
      </c>
      <c r="M2986" t="n">
        <v>0</v>
      </c>
      <c r="N2986" t="n">
        <v>0</v>
      </c>
      <c r="O2986" t="n">
        <v>0</v>
      </c>
      <c r="P2986" t="n">
        <v>0</v>
      </c>
      <c r="Q2986" t="n">
        <v>0</v>
      </c>
      <c r="R2986" s="2" t="inlineStr"/>
    </row>
    <row r="2987" ht="15" customHeight="1">
      <c r="A2987" t="inlineStr">
        <is>
          <t>A 39636-2019</t>
        </is>
      </c>
      <c r="B2987" s="1" t="n">
        <v>43691</v>
      </c>
      <c r="C2987" s="1" t="n">
        <v>45227</v>
      </c>
      <c r="D2987" t="inlineStr">
        <is>
          <t>VÄSTRA GÖTALANDS LÄN</t>
        </is>
      </c>
      <c r="E2987" t="inlineStr">
        <is>
          <t>GULLSPÅNG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39626-2019</t>
        </is>
      </c>
      <c r="B2988" s="1" t="n">
        <v>43691</v>
      </c>
      <c r="C2988" s="1" t="n">
        <v>45227</v>
      </c>
      <c r="D2988" t="inlineStr">
        <is>
          <t>VÄSTRA GÖTALANDS LÄN</t>
        </is>
      </c>
      <c r="E2988" t="inlineStr">
        <is>
          <t>GULLSPÅNG</t>
        </is>
      </c>
      <c r="G2988" t="n">
        <v>8.6</v>
      </c>
      <c r="H2988" t="n">
        <v>0</v>
      </c>
      <c r="I2988" t="n">
        <v>0</v>
      </c>
      <c r="J2988" t="n">
        <v>0</v>
      </c>
      <c r="K2988" t="n">
        <v>0</v>
      </c>
      <c r="L2988" t="n">
        <v>0</v>
      </c>
      <c r="M2988" t="n">
        <v>0</v>
      </c>
      <c r="N2988" t="n">
        <v>0</v>
      </c>
      <c r="O2988" t="n">
        <v>0</v>
      </c>
      <c r="P2988" t="n">
        <v>0</v>
      </c>
      <c r="Q2988" t="n">
        <v>0</v>
      </c>
      <c r="R2988" s="2" t="inlineStr"/>
    </row>
    <row r="2989" ht="15" customHeight="1">
      <c r="A2989" t="inlineStr">
        <is>
          <t>A 39631-2019</t>
        </is>
      </c>
      <c r="B2989" s="1" t="n">
        <v>43691</v>
      </c>
      <c r="C2989" s="1" t="n">
        <v>45227</v>
      </c>
      <c r="D2989" t="inlineStr">
        <is>
          <t>VÄSTRA GÖTALANDS LÄN</t>
        </is>
      </c>
      <c r="E2989" t="inlineStr">
        <is>
          <t>GULLSPÅNG</t>
        </is>
      </c>
      <c r="G2989" t="n">
        <v>2.5</v>
      </c>
      <c r="H2989" t="n">
        <v>0</v>
      </c>
      <c r="I2989" t="n">
        <v>0</v>
      </c>
      <c r="J2989" t="n">
        <v>0</v>
      </c>
      <c r="K2989" t="n">
        <v>0</v>
      </c>
      <c r="L2989" t="n">
        <v>0</v>
      </c>
      <c r="M2989" t="n">
        <v>0</v>
      </c>
      <c r="N2989" t="n">
        <v>0</v>
      </c>
      <c r="O2989" t="n">
        <v>0</v>
      </c>
      <c r="P2989" t="n">
        <v>0</v>
      </c>
      <c r="Q2989" t="n">
        <v>0</v>
      </c>
      <c r="R2989" s="2" t="inlineStr"/>
    </row>
    <row r="2990" ht="15" customHeight="1">
      <c r="A2990" t="inlineStr">
        <is>
          <t>A 41124-2019</t>
        </is>
      </c>
      <c r="B2990" s="1" t="n">
        <v>43691</v>
      </c>
      <c r="C2990" s="1" t="n">
        <v>45227</v>
      </c>
      <c r="D2990" t="inlineStr">
        <is>
          <t>VÄSTRA GÖTALANDS LÄN</t>
        </is>
      </c>
      <c r="E2990" t="inlineStr">
        <is>
          <t>ESSUNGA</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39534-2019</t>
        </is>
      </c>
      <c r="B2991" s="1" t="n">
        <v>43691</v>
      </c>
      <c r="C2991" s="1" t="n">
        <v>45227</v>
      </c>
      <c r="D2991" t="inlineStr">
        <is>
          <t>VÄSTRA GÖTALANDS LÄN</t>
        </is>
      </c>
      <c r="E2991" t="inlineStr">
        <is>
          <t>VARA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39586-2019</t>
        </is>
      </c>
      <c r="B2992" s="1" t="n">
        <v>43691</v>
      </c>
      <c r="C2992" s="1" t="n">
        <v>45227</v>
      </c>
      <c r="D2992" t="inlineStr">
        <is>
          <t>VÄSTRA GÖTALANDS LÄN</t>
        </is>
      </c>
      <c r="E2992" t="inlineStr">
        <is>
          <t>MARK</t>
        </is>
      </c>
      <c r="G2992" t="n">
        <v>5.7</v>
      </c>
      <c r="H2992" t="n">
        <v>0</v>
      </c>
      <c r="I2992" t="n">
        <v>0</v>
      </c>
      <c r="J2992" t="n">
        <v>0</v>
      </c>
      <c r="K2992" t="n">
        <v>0</v>
      </c>
      <c r="L2992" t="n">
        <v>0</v>
      </c>
      <c r="M2992" t="n">
        <v>0</v>
      </c>
      <c r="N2992" t="n">
        <v>0</v>
      </c>
      <c r="O2992" t="n">
        <v>0</v>
      </c>
      <c r="P2992" t="n">
        <v>0</v>
      </c>
      <c r="Q2992" t="n">
        <v>0</v>
      </c>
      <c r="R2992" s="2" t="inlineStr"/>
    </row>
    <row r="2993" ht="15" customHeight="1">
      <c r="A2993" t="inlineStr">
        <is>
          <t>A 39542-2019</t>
        </is>
      </c>
      <c r="B2993" s="1" t="n">
        <v>43691</v>
      </c>
      <c r="C2993" s="1" t="n">
        <v>45227</v>
      </c>
      <c r="D2993" t="inlineStr">
        <is>
          <t>VÄSTRA GÖTALANDS LÄN</t>
        </is>
      </c>
      <c r="E2993" t="inlineStr">
        <is>
          <t>LILLA EDET</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39608-2019</t>
        </is>
      </c>
      <c r="B2994" s="1" t="n">
        <v>43691</v>
      </c>
      <c r="C2994" s="1" t="n">
        <v>45227</v>
      </c>
      <c r="D2994" t="inlineStr">
        <is>
          <t>VÄSTRA GÖTALANDS LÄN</t>
        </is>
      </c>
      <c r="E2994" t="inlineStr">
        <is>
          <t>FÄRGELANDA</t>
        </is>
      </c>
      <c r="G2994" t="n">
        <v>8.4</v>
      </c>
      <c r="H2994" t="n">
        <v>0</v>
      </c>
      <c r="I2994" t="n">
        <v>0</v>
      </c>
      <c r="J2994" t="n">
        <v>0</v>
      </c>
      <c r="K2994" t="n">
        <v>0</v>
      </c>
      <c r="L2994" t="n">
        <v>0</v>
      </c>
      <c r="M2994" t="n">
        <v>0</v>
      </c>
      <c r="N2994" t="n">
        <v>0</v>
      </c>
      <c r="O2994" t="n">
        <v>0</v>
      </c>
      <c r="P2994" t="n">
        <v>0</v>
      </c>
      <c r="Q2994" t="n">
        <v>0</v>
      </c>
      <c r="R2994" s="2" t="inlineStr"/>
    </row>
    <row r="2995" ht="15" customHeight="1">
      <c r="A2995" t="inlineStr">
        <is>
          <t>A 39620-2019</t>
        </is>
      </c>
      <c r="B2995" s="1" t="n">
        <v>43691</v>
      </c>
      <c r="C2995" s="1" t="n">
        <v>45227</v>
      </c>
      <c r="D2995" t="inlineStr">
        <is>
          <t>VÄSTRA GÖTALANDS LÄN</t>
        </is>
      </c>
      <c r="E2995" t="inlineStr">
        <is>
          <t>GULLSPÅNG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39639-2019</t>
        </is>
      </c>
      <c r="B2996" s="1" t="n">
        <v>43691</v>
      </c>
      <c r="C2996" s="1" t="n">
        <v>45227</v>
      </c>
      <c r="D2996" t="inlineStr">
        <is>
          <t>VÄSTRA GÖTALANDS LÄN</t>
        </is>
      </c>
      <c r="E2996" t="inlineStr">
        <is>
          <t>GULLSPÅNG</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39644-2019</t>
        </is>
      </c>
      <c r="B2997" s="1" t="n">
        <v>43691</v>
      </c>
      <c r="C2997" s="1" t="n">
        <v>45227</v>
      </c>
      <c r="D2997" t="inlineStr">
        <is>
          <t>VÄSTRA GÖTALANDS LÄN</t>
        </is>
      </c>
      <c r="E2997" t="inlineStr">
        <is>
          <t>BENGTSFORS</t>
        </is>
      </c>
      <c r="G2997" t="n">
        <v>3.1</v>
      </c>
      <c r="H2997" t="n">
        <v>0</v>
      </c>
      <c r="I2997" t="n">
        <v>0</v>
      </c>
      <c r="J2997" t="n">
        <v>0</v>
      </c>
      <c r="K2997" t="n">
        <v>0</v>
      </c>
      <c r="L2997" t="n">
        <v>0</v>
      </c>
      <c r="M2997" t="n">
        <v>0</v>
      </c>
      <c r="N2997" t="n">
        <v>0</v>
      </c>
      <c r="O2997" t="n">
        <v>0</v>
      </c>
      <c r="P2997" t="n">
        <v>0</v>
      </c>
      <c r="Q2997" t="n">
        <v>0</v>
      </c>
      <c r="R2997" s="2" t="inlineStr"/>
    </row>
    <row r="2998" ht="15" customHeight="1">
      <c r="A2998" t="inlineStr">
        <is>
          <t>A 39934-2019</t>
        </is>
      </c>
      <c r="B2998" s="1" t="n">
        <v>43692</v>
      </c>
      <c r="C2998" s="1" t="n">
        <v>45227</v>
      </c>
      <c r="D2998" t="inlineStr">
        <is>
          <t>VÄSTRA GÖTALANDS LÄN</t>
        </is>
      </c>
      <c r="E2998" t="inlineStr">
        <is>
          <t>ULRICEHAMN</t>
        </is>
      </c>
      <c r="F2998" t="inlineStr">
        <is>
          <t>Sveaskog</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39975-2019</t>
        </is>
      </c>
      <c r="B2999" s="1" t="n">
        <v>43692</v>
      </c>
      <c r="C2999" s="1" t="n">
        <v>45227</v>
      </c>
      <c r="D2999" t="inlineStr">
        <is>
          <t>VÄSTRA GÖTALANDS LÄN</t>
        </is>
      </c>
      <c r="E2999" t="inlineStr">
        <is>
          <t>KARLSBORG</t>
        </is>
      </c>
      <c r="F2999" t="inlineStr">
        <is>
          <t>Sveaskog</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40048-2019</t>
        </is>
      </c>
      <c r="B3000" s="1" t="n">
        <v>43693</v>
      </c>
      <c r="C3000" s="1" t="n">
        <v>45227</v>
      </c>
      <c r="D3000" t="inlineStr">
        <is>
          <t>VÄSTRA GÖTALANDS LÄN</t>
        </is>
      </c>
      <c r="E3000" t="inlineStr">
        <is>
          <t>BENGTSFORS</t>
        </is>
      </c>
      <c r="G3000" t="n">
        <v>15.6</v>
      </c>
      <c r="H3000" t="n">
        <v>0</v>
      </c>
      <c r="I3000" t="n">
        <v>0</v>
      </c>
      <c r="J3000" t="n">
        <v>0</v>
      </c>
      <c r="K3000" t="n">
        <v>0</v>
      </c>
      <c r="L3000" t="n">
        <v>0</v>
      </c>
      <c r="M3000" t="n">
        <v>0</v>
      </c>
      <c r="N3000" t="n">
        <v>0</v>
      </c>
      <c r="O3000" t="n">
        <v>0</v>
      </c>
      <c r="P3000" t="n">
        <v>0</v>
      </c>
      <c r="Q3000" t="n">
        <v>0</v>
      </c>
      <c r="R3000" s="2" t="inlineStr"/>
    </row>
    <row r="3001" ht="15" customHeight="1">
      <c r="A3001" t="inlineStr">
        <is>
          <t>A 40110-2019</t>
        </is>
      </c>
      <c r="B3001" s="1" t="n">
        <v>43693</v>
      </c>
      <c r="C3001" s="1" t="n">
        <v>45227</v>
      </c>
      <c r="D3001" t="inlineStr">
        <is>
          <t>VÄSTRA GÖTALANDS LÄN</t>
        </is>
      </c>
      <c r="E3001" t="inlineStr">
        <is>
          <t>BOLLEBYGD</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40145-2019</t>
        </is>
      </c>
      <c r="B3002" s="1" t="n">
        <v>43693</v>
      </c>
      <c r="C3002" s="1" t="n">
        <v>45227</v>
      </c>
      <c r="D3002" t="inlineStr">
        <is>
          <t>VÄSTRA GÖTALANDS LÄN</t>
        </is>
      </c>
      <c r="E3002" t="inlineStr">
        <is>
          <t>GULLSPÅNG</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40224-2019</t>
        </is>
      </c>
      <c r="B3003" s="1" t="n">
        <v>43693</v>
      </c>
      <c r="C3003" s="1" t="n">
        <v>45227</v>
      </c>
      <c r="D3003" t="inlineStr">
        <is>
          <t>VÄSTRA GÖTALANDS LÄN</t>
        </is>
      </c>
      <c r="E3003" t="inlineStr">
        <is>
          <t>TIDAHOLM</t>
        </is>
      </c>
      <c r="G3003" t="n">
        <v>3.2</v>
      </c>
      <c r="H3003" t="n">
        <v>0</v>
      </c>
      <c r="I3003" t="n">
        <v>0</v>
      </c>
      <c r="J3003" t="n">
        <v>0</v>
      </c>
      <c r="K3003" t="n">
        <v>0</v>
      </c>
      <c r="L3003" t="n">
        <v>0</v>
      </c>
      <c r="M3003" t="n">
        <v>0</v>
      </c>
      <c r="N3003" t="n">
        <v>0</v>
      </c>
      <c r="O3003" t="n">
        <v>0</v>
      </c>
      <c r="P3003" t="n">
        <v>0</v>
      </c>
      <c r="Q3003" t="n">
        <v>0</v>
      </c>
      <c r="R3003" s="2" t="inlineStr"/>
    </row>
    <row r="3004" ht="15" customHeight="1">
      <c r="A3004" t="inlineStr">
        <is>
          <t>A 40043-2019</t>
        </is>
      </c>
      <c r="B3004" s="1" t="n">
        <v>43693</v>
      </c>
      <c r="C3004" s="1" t="n">
        <v>45227</v>
      </c>
      <c r="D3004" t="inlineStr">
        <is>
          <t>VÄSTRA GÖTALANDS LÄN</t>
        </is>
      </c>
      <c r="E3004" t="inlineStr">
        <is>
          <t>BENGTSFORS</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40168-2019</t>
        </is>
      </c>
      <c r="B3005" s="1" t="n">
        <v>43693</v>
      </c>
      <c r="C3005" s="1" t="n">
        <v>45227</v>
      </c>
      <c r="D3005" t="inlineStr">
        <is>
          <t>VÄSTRA GÖTALANDS LÄN</t>
        </is>
      </c>
      <c r="E3005" t="inlineStr">
        <is>
          <t>VÅRGÅRDA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40225-2019</t>
        </is>
      </c>
      <c r="B3006" s="1" t="n">
        <v>43693</v>
      </c>
      <c r="C3006" s="1" t="n">
        <v>45227</v>
      </c>
      <c r="D3006" t="inlineStr">
        <is>
          <t>VÄSTRA GÖTALANDS LÄN</t>
        </is>
      </c>
      <c r="E3006" t="inlineStr">
        <is>
          <t>TIDAHOLM</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40814-2019</t>
        </is>
      </c>
      <c r="B3007" s="1" t="n">
        <v>43693</v>
      </c>
      <c r="C3007" s="1" t="n">
        <v>45227</v>
      </c>
      <c r="D3007" t="inlineStr">
        <is>
          <t>VÄSTRA GÖTALANDS LÄN</t>
        </is>
      </c>
      <c r="E3007" t="inlineStr">
        <is>
          <t>GULLSPÅNG</t>
        </is>
      </c>
      <c r="G3007" t="n">
        <v>3.6</v>
      </c>
      <c r="H3007" t="n">
        <v>0</v>
      </c>
      <c r="I3007" t="n">
        <v>0</v>
      </c>
      <c r="J3007" t="n">
        <v>0</v>
      </c>
      <c r="K3007" t="n">
        <v>0</v>
      </c>
      <c r="L3007" t="n">
        <v>0</v>
      </c>
      <c r="M3007" t="n">
        <v>0</v>
      </c>
      <c r="N3007" t="n">
        <v>0</v>
      </c>
      <c r="O3007" t="n">
        <v>0</v>
      </c>
      <c r="P3007" t="n">
        <v>0</v>
      </c>
      <c r="Q3007" t="n">
        <v>0</v>
      </c>
      <c r="R3007" s="2" t="inlineStr"/>
    </row>
    <row r="3008" ht="15" customHeight="1">
      <c r="A3008" t="inlineStr">
        <is>
          <t>A 40106-2019</t>
        </is>
      </c>
      <c r="B3008" s="1" t="n">
        <v>43693</v>
      </c>
      <c r="C3008" s="1" t="n">
        <v>45227</v>
      </c>
      <c r="D3008" t="inlineStr">
        <is>
          <t>VÄSTRA GÖTALANDS LÄN</t>
        </is>
      </c>
      <c r="E3008" t="inlineStr">
        <is>
          <t>TROLLHÄTTAN</t>
        </is>
      </c>
      <c r="F3008" t="inlineStr">
        <is>
          <t>Kommuner</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40141-2019</t>
        </is>
      </c>
      <c r="B3009" s="1" t="n">
        <v>43693</v>
      </c>
      <c r="C3009" s="1" t="n">
        <v>45227</v>
      </c>
      <c r="D3009" t="inlineStr">
        <is>
          <t>VÄSTRA GÖTALANDS LÄN</t>
        </is>
      </c>
      <c r="E3009" t="inlineStr">
        <is>
          <t>GULLSPÅNG</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40242-2019</t>
        </is>
      </c>
      <c r="B3010" s="1" t="n">
        <v>43694</v>
      </c>
      <c r="C3010" s="1" t="n">
        <v>45227</v>
      </c>
      <c r="D3010" t="inlineStr">
        <is>
          <t>VÄSTRA GÖTALANDS LÄN</t>
        </is>
      </c>
      <c r="E3010" t="inlineStr">
        <is>
          <t>BENGTSFORS</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40243-2019</t>
        </is>
      </c>
      <c r="B3011" s="1" t="n">
        <v>43694</v>
      </c>
      <c r="C3011" s="1" t="n">
        <v>45227</v>
      </c>
      <c r="D3011" t="inlineStr">
        <is>
          <t>VÄSTRA GÖTALANDS LÄN</t>
        </is>
      </c>
      <c r="E3011" t="inlineStr">
        <is>
          <t>BENGTSFORS</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40388-2019</t>
        </is>
      </c>
      <c r="B3012" s="1" t="n">
        <v>43696</v>
      </c>
      <c r="C3012" s="1" t="n">
        <v>45227</v>
      </c>
      <c r="D3012" t="inlineStr">
        <is>
          <t>VÄSTRA GÖTALANDS LÄN</t>
        </is>
      </c>
      <c r="E3012" t="inlineStr">
        <is>
          <t>ALINGSÅS</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40566-2019</t>
        </is>
      </c>
      <c r="B3013" s="1" t="n">
        <v>43696</v>
      </c>
      <c r="C3013" s="1" t="n">
        <v>45227</v>
      </c>
      <c r="D3013" t="inlineStr">
        <is>
          <t>VÄSTRA GÖTALANDS LÄN</t>
        </is>
      </c>
      <c r="E3013" t="inlineStr">
        <is>
          <t>LERUM</t>
        </is>
      </c>
      <c r="G3013" t="n">
        <v>4.5</v>
      </c>
      <c r="H3013" t="n">
        <v>0</v>
      </c>
      <c r="I3013" t="n">
        <v>0</v>
      </c>
      <c r="J3013" t="n">
        <v>0</v>
      </c>
      <c r="K3013" t="n">
        <v>0</v>
      </c>
      <c r="L3013" t="n">
        <v>0</v>
      </c>
      <c r="M3013" t="n">
        <v>0</v>
      </c>
      <c r="N3013" t="n">
        <v>0</v>
      </c>
      <c r="O3013" t="n">
        <v>0</v>
      </c>
      <c r="P3013" t="n">
        <v>0</v>
      </c>
      <c r="Q3013" t="n">
        <v>0</v>
      </c>
      <c r="R3013" s="2" t="inlineStr"/>
    </row>
    <row r="3014" ht="15" customHeight="1">
      <c r="A3014" t="inlineStr">
        <is>
          <t>A 40654-2019</t>
        </is>
      </c>
      <c r="B3014" s="1" t="n">
        <v>43696</v>
      </c>
      <c r="C3014" s="1" t="n">
        <v>45227</v>
      </c>
      <c r="D3014" t="inlineStr">
        <is>
          <t>VÄSTRA GÖTALANDS LÄN</t>
        </is>
      </c>
      <c r="E3014" t="inlineStr">
        <is>
          <t>BENGTSFORS</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40587-2019</t>
        </is>
      </c>
      <c r="B3015" s="1" t="n">
        <v>43696</v>
      </c>
      <c r="C3015" s="1" t="n">
        <v>45227</v>
      </c>
      <c r="D3015" t="inlineStr">
        <is>
          <t>VÄSTRA GÖTALANDS LÄN</t>
        </is>
      </c>
      <c r="E3015" t="inlineStr">
        <is>
          <t>TANUM</t>
        </is>
      </c>
      <c r="G3015" t="n">
        <v>3.1</v>
      </c>
      <c r="H3015" t="n">
        <v>0</v>
      </c>
      <c r="I3015" t="n">
        <v>0</v>
      </c>
      <c r="J3015" t="n">
        <v>0</v>
      </c>
      <c r="K3015" t="n">
        <v>0</v>
      </c>
      <c r="L3015" t="n">
        <v>0</v>
      </c>
      <c r="M3015" t="n">
        <v>0</v>
      </c>
      <c r="N3015" t="n">
        <v>0</v>
      </c>
      <c r="O3015" t="n">
        <v>0</v>
      </c>
      <c r="P3015" t="n">
        <v>0</v>
      </c>
      <c r="Q3015" t="n">
        <v>0</v>
      </c>
      <c r="R3015" s="2" t="inlineStr"/>
    </row>
    <row r="3016" ht="15" customHeight="1">
      <c r="A3016" t="inlineStr">
        <is>
          <t>A 40599-2019</t>
        </is>
      </c>
      <c r="B3016" s="1" t="n">
        <v>43696</v>
      </c>
      <c r="C3016" s="1" t="n">
        <v>45227</v>
      </c>
      <c r="D3016" t="inlineStr">
        <is>
          <t>VÄSTRA GÖTALANDS LÄN</t>
        </is>
      </c>
      <c r="E3016" t="inlineStr">
        <is>
          <t>MUNKEDAL</t>
        </is>
      </c>
      <c r="G3016" t="n">
        <v>13.1</v>
      </c>
      <c r="H3016" t="n">
        <v>0</v>
      </c>
      <c r="I3016" t="n">
        <v>0</v>
      </c>
      <c r="J3016" t="n">
        <v>0</v>
      </c>
      <c r="K3016" t="n">
        <v>0</v>
      </c>
      <c r="L3016" t="n">
        <v>0</v>
      </c>
      <c r="M3016" t="n">
        <v>0</v>
      </c>
      <c r="N3016" t="n">
        <v>0</v>
      </c>
      <c r="O3016" t="n">
        <v>0</v>
      </c>
      <c r="P3016" t="n">
        <v>0</v>
      </c>
      <c r="Q3016" t="n">
        <v>0</v>
      </c>
      <c r="R3016" s="2" t="inlineStr"/>
    </row>
    <row r="3017" ht="15" customHeight="1">
      <c r="A3017" t="inlineStr">
        <is>
          <t>A 40456-2019</t>
        </is>
      </c>
      <c r="B3017" s="1" t="n">
        <v>43696</v>
      </c>
      <c r="C3017" s="1" t="n">
        <v>45227</v>
      </c>
      <c r="D3017" t="inlineStr">
        <is>
          <t>VÄSTRA GÖTALANDS LÄN</t>
        </is>
      </c>
      <c r="E3017" t="inlineStr">
        <is>
          <t>BORÅS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40575-2019</t>
        </is>
      </c>
      <c r="B3018" s="1" t="n">
        <v>43696</v>
      </c>
      <c r="C3018" s="1" t="n">
        <v>45227</v>
      </c>
      <c r="D3018" t="inlineStr">
        <is>
          <t>VÄSTRA GÖTALANDS LÄN</t>
        </is>
      </c>
      <c r="E3018" t="inlineStr">
        <is>
          <t>LERUM</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41500-2019</t>
        </is>
      </c>
      <c r="B3019" s="1" t="n">
        <v>43696</v>
      </c>
      <c r="C3019" s="1" t="n">
        <v>45227</v>
      </c>
      <c r="D3019" t="inlineStr">
        <is>
          <t>VÄSTRA GÖTALANDS LÄN</t>
        </is>
      </c>
      <c r="E3019" t="inlineStr">
        <is>
          <t>VARA</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40602-2019</t>
        </is>
      </c>
      <c r="B3020" s="1" t="n">
        <v>43696</v>
      </c>
      <c r="C3020" s="1" t="n">
        <v>45227</v>
      </c>
      <c r="D3020" t="inlineStr">
        <is>
          <t>VÄSTRA GÖTALANDS LÄN</t>
        </is>
      </c>
      <c r="E3020" t="inlineStr">
        <is>
          <t>HERRLJUNGA</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41634-2019</t>
        </is>
      </c>
      <c r="B3021" s="1" t="n">
        <v>43696</v>
      </c>
      <c r="C3021" s="1" t="n">
        <v>45227</v>
      </c>
      <c r="D3021" t="inlineStr">
        <is>
          <t>VÄSTRA GÖTALANDS LÄN</t>
        </is>
      </c>
      <c r="E3021" t="inlineStr">
        <is>
          <t>UDDEVALLA</t>
        </is>
      </c>
      <c r="F3021" t="inlineStr">
        <is>
          <t>Kyrkan</t>
        </is>
      </c>
      <c r="G3021" t="n">
        <v>14.1</v>
      </c>
      <c r="H3021" t="n">
        <v>0</v>
      </c>
      <c r="I3021" t="n">
        <v>0</v>
      </c>
      <c r="J3021" t="n">
        <v>0</v>
      </c>
      <c r="K3021" t="n">
        <v>0</v>
      </c>
      <c r="L3021" t="n">
        <v>0</v>
      </c>
      <c r="M3021" t="n">
        <v>0</v>
      </c>
      <c r="N3021" t="n">
        <v>0</v>
      </c>
      <c r="O3021" t="n">
        <v>0</v>
      </c>
      <c r="P3021" t="n">
        <v>0</v>
      </c>
      <c r="Q3021" t="n">
        <v>0</v>
      </c>
      <c r="R3021" s="2" t="inlineStr"/>
    </row>
    <row r="3022" ht="15" customHeight="1">
      <c r="A3022" t="inlineStr">
        <is>
          <t>A 40754-2019</t>
        </is>
      </c>
      <c r="B3022" s="1" t="n">
        <v>43697</v>
      </c>
      <c r="C3022" s="1" t="n">
        <v>45227</v>
      </c>
      <c r="D3022" t="inlineStr">
        <is>
          <t>VÄSTRA GÖTALANDS LÄN</t>
        </is>
      </c>
      <c r="E3022" t="inlineStr">
        <is>
          <t>SKARA</t>
        </is>
      </c>
      <c r="G3022" t="n">
        <v>4.5</v>
      </c>
      <c r="H3022" t="n">
        <v>0</v>
      </c>
      <c r="I3022" t="n">
        <v>0</v>
      </c>
      <c r="J3022" t="n">
        <v>0</v>
      </c>
      <c r="K3022" t="n">
        <v>0</v>
      </c>
      <c r="L3022" t="n">
        <v>0</v>
      </c>
      <c r="M3022" t="n">
        <v>0</v>
      </c>
      <c r="N3022" t="n">
        <v>0</v>
      </c>
      <c r="O3022" t="n">
        <v>0</v>
      </c>
      <c r="P3022" t="n">
        <v>0</v>
      </c>
      <c r="Q3022" t="n">
        <v>0</v>
      </c>
      <c r="R3022" s="2" t="inlineStr"/>
    </row>
    <row r="3023" ht="15" customHeight="1">
      <c r="A3023" t="inlineStr">
        <is>
          <t>A 40852-2019</t>
        </is>
      </c>
      <c r="B3023" s="1" t="n">
        <v>43697</v>
      </c>
      <c r="C3023" s="1" t="n">
        <v>45227</v>
      </c>
      <c r="D3023" t="inlineStr">
        <is>
          <t>VÄSTRA GÖTALANDS LÄN</t>
        </is>
      </c>
      <c r="E3023" t="inlineStr">
        <is>
          <t>SKARA</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40951-2019</t>
        </is>
      </c>
      <c r="B3024" s="1" t="n">
        <v>43697</v>
      </c>
      <c r="C3024" s="1" t="n">
        <v>45227</v>
      </c>
      <c r="D3024" t="inlineStr">
        <is>
          <t>VÄSTRA GÖTALANDS LÄN</t>
        </is>
      </c>
      <c r="E3024" t="inlineStr">
        <is>
          <t>GRÄSTORP</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40971-2019</t>
        </is>
      </c>
      <c r="B3025" s="1" t="n">
        <v>43697</v>
      </c>
      <c r="C3025" s="1" t="n">
        <v>45227</v>
      </c>
      <c r="D3025" t="inlineStr">
        <is>
          <t>VÄSTRA GÖTALANDS LÄN</t>
        </is>
      </c>
      <c r="E3025" t="inlineStr">
        <is>
          <t>LYSEKIL</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40983-2019</t>
        </is>
      </c>
      <c r="B3026" s="1" t="n">
        <v>43697</v>
      </c>
      <c r="C3026" s="1" t="n">
        <v>45227</v>
      </c>
      <c r="D3026" t="inlineStr">
        <is>
          <t>VÄSTRA GÖTALANDS LÄN</t>
        </is>
      </c>
      <c r="E3026" t="inlineStr">
        <is>
          <t>LYSEKIL</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41000-2019</t>
        </is>
      </c>
      <c r="B3027" s="1" t="n">
        <v>43697</v>
      </c>
      <c r="C3027" s="1" t="n">
        <v>45227</v>
      </c>
      <c r="D3027" t="inlineStr">
        <is>
          <t>VÄSTRA GÖTALANDS LÄN</t>
        </is>
      </c>
      <c r="E3027" t="inlineStr">
        <is>
          <t>MELLERUD</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40783-2019</t>
        </is>
      </c>
      <c r="B3028" s="1" t="n">
        <v>43697</v>
      </c>
      <c r="C3028" s="1" t="n">
        <v>45227</v>
      </c>
      <c r="D3028" t="inlineStr">
        <is>
          <t>VÄSTRA GÖTALANDS LÄN</t>
        </is>
      </c>
      <c r="E3028" t="inlineStr">
        <is>
          <t>TÖREBODA</t>
        </is>
      </c>
      <c r="F3028" t="inlineStr">
        <is>
          <t>Sveaskog</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40885-2019</t>
        </is>
      </c>
      <c r="B3029" s="1" t="n">
        <v>43697</v>
      </c>
      <c r="C3029" s="1" t="n">
        <v>45227</v>
      </c>
      <c r="D3029" t="inlineStr">
        <is>
          <t>VÄSTRA GÖTALANDS LÄN</t>
        </is>
      </c>
      <c r="E3029" t="inlineStr">
        <is>
          <t>SVENLJUNGA</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40957-2019</t>
        </is>
      </c>
      <c r="B3030" s="1" t="n">
        <v>43697</v>
      </c>
      <c r="C3030" s="1" t="n">
        <v>45227</v>
      </c>
      <c r="D3030" t="inlineStr">
        <is>
          <t>VÄSTRA GÖTALANDS LÄN</t>
        </is>
      </c>
      <c r="E3030" t="inlineStr">
        <is>
          <t>TRANEMO</t>
        </is>
      </c>
      <c r="F3030" t="inlineStr">
        <is>
          <t>Kyrkan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40987-2019</t>
        </is>
      </c>
      <c r="B3031" s="1" t="n">
        <v>43697</v>
      </c>
      <c r="C3031" s="1" t="n">
        <v>45227</v>
      </c>
      <c r="D3031" t="inlineStr">
        <is>
          <t>VÄSTRA GÖTALANDS LÄN</t>
        </is>
      </c>
      <c r="E3031" t="inlineStr">
        <is>
          <t>UDDEVALLA</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40939-2019</t>
        </is>
      </c>
      <c r="B3032" s="1" t="n">
        <v>43697</v>
      </c>
      <c r="C3032" s="1" t="n">
        <v>45227</v>
      </c>
      <c r="D3032" t="inlineStr">
        <is>
          <t>VÄSTRA GÖTALANDS LÄN</t>
        </is>
      </c>
      <c r="E3032" t="inlineStr">
        <is>
          <t>HERRLJUNGA</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40972-2019</t>
        </is>
      </c>
      <c r="B3033" s="1" t="n">
        <v>43697</v>
      </c>
      <c r="C3033" s="1" t="n">
        <v>45227</v>
      </c>
      <c r="D3033" t="inlineStr">
        <is>
          <t>VÄSTRA GÖTALANDS LÄN</t>
        </is>
      </c>
      <c r="E3033" t="inlineStr">
        <is>
          <t>BENGTSFORS</t>
        </is>
      </c>
      <c r="G3033" t="n">
        <v>1.9</v>
      </c>
      <c r="H3033" t="n">
        <v>0</v>
      </c>
      <c r="I3033" t="n">
        <v>0</v>
      </c>
      <c r="J3033" t="n">
        <v>0</v>
      </c>
      <c r="K3033" t="n">
        <v>0</v>
      </c>
      <c r="L3033" t="n">
        <v>0</v>
      </c>
      <c r="M3033" t="n">
        <v>0</v>
      </c>
      <c r="N3033" t="n">
        <v>0</v>
      </c>
      <c r="O3033" t="n">
        <v>0</v>
      </c>
      <c r="P3033" t="n">
        <v>0</v>
      </c>
      <c r="Q3033" t="n">
        <v>0</v>
      </c>
      <c r="R3033" s="2" t="inlineStr"/>
    </row>
    <row r="3034" ht="15" customHeight="1">
      <c r="A3034" t="inlineStr">
        <is>
          <t>A 41113-2019</t>
        </is>
      </c>
      <c r="B3034" s="1" t="n">
        <v>43698</v>
      </c>
      <c r="C3034" s="1" t="n">
        <v>45227</v>
      </c>
      <c r="D3034" t="inlineStr">
        <is>
          <t>VÄSTRA GÖTALANDS LÄN</t>
        </is>
      </c>
      <c r="E3034" t="inlineStr">
        <is>
          <t>ALINGSÅS</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41252-2019</t>
        </is>
      </c>
      <c r="B3035" s="1" t="n">
        <v>43698</v>
      </c>
      <c r="C3035" s="1" t="n">
        <v>45227</v>
      </c>
      <c r="D3035" t="inlineStr">
        <is>
          <t>VÄSTRA GÖTALANDS LÄN</t>
        </is>
      </c>
      <c r="E3035" t="inlineStr">
        <is>
          <t>BENGTSFORS</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42213-2019</t>
        </is>
      </c>
      <c r="B3036" s="1" t="n">
        <v>43698</v>
      </c>
      <c r="C3036" s="1" t="n">
        <v>45227</v>
      </c>
      <c r="D3036" t="inlineStr">
        <is>
          <t>VÄSTRA GÖTALANDS LÄN</t>
        </is>
      </c>
      <c r="E3036" t="inlineStr">
        <is>
          <t>DALS-ED</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57784-2019</t>
        </is>
      </c>
      <c r="B3037" s="1" t="n">
        <v>43698</v>
      </c>
      <c r="C3037" s="1" t="n">
        <v>45227</v>
      </c>
      <c r="D3037" t="inlineStr">
        <is>
          <t>VÄSTRA GÖTALANDS LÄN</t>
        </is>
      </c>
      <c r="E3037" t="inlineStr">
        <is>
          <t>HERRLJUNGA</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41186-2019</t>
        </is>
      </c>
      <c r="B3038" s="1" t="n">
        <v>43698</v>
      </c>
      <c r="C3038" s="1" t="n">
        <v>45227</v>
      </c>
      <c r="D3038" t="inlineStr">
        <is>
          <t>VÄSTRA GÖTALANDS LÄN</t>
        </is>
      </c>
      <c r="E3038" t="inlineStr">
        <is>
          <t>GÖTENE</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41257-2019</t>
        </is>
      </c>
      <c r="B3039" s="1" t="n">
        <v>43698</v>
      </c>
      <c r="C3039" s="1" t="n">
        <v>45227</v>
      </c>
      <c r="D3039" t="inlineStr">
        <is>
          <t>VÄSTRA GÖTALANDS LÄN</t>
        </is>
      </c>
      <c r="E3039" t="inlineStr">
        <is>
          <t>BENGTSFORS</t>
        </is>
      </c>
      <c r="G3039" t="n">
        <v>2.3</v>
      </c>
      <c r="H3039" t="n">
        <v>0</v>
      </c>
      <c r="I3039" t="n">
        <v>0</v>
      </c>
      <c r="J3039" t="n">
        <v>0</v>
      </c>
      <c r="K3039" t="n">
        <v>0</v>
      </c>
      <c r="L3039" t="n">
        <v>0</v>
      </c>
      <c r="M3039" t="n">
        <v>0</v>
      </c>
      <c r="N3039" t="n">
        <v>0</v>
      </c>
      <c r="O3039" t="n">
        <v>0</v>
      </c>
      <c r="P3039" t="n">
        <v>0</v>
      </c>
      <c r="Q3039" t="n">
        <v>0</v>
      </c>
      <c r="R3039" s="2" t="inlineStr"/>
    </row>
    <row r="3040" ht="15" customHeight="1">
      <c r="A3040" t="inlineStr">
        <is>
          <t>A 41394-2019</t>
        </is>
      </c>
      <c r="B3040" s="1" t="n">
        <v>43698</v>
      </c>
      <c r="C3040" s="1" t="n">
        <v>45227</v>
      </c>
      <c r="D3040" t="inlineStr">
        <is>
          <t>VÄSTRA GÖTALANDS LÄN</t>
        </is>
      </c>
      <c r="E3040" t="inlineStr">
        <is>
          <t>HERRLJUNGA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41406-2019</t>
        </is>
      </c>
      <c r="B3041" s="1" t="n">
        <v>43698</v>
      </c>
      <c r="C3041" s="1" t="n">
        <v>45227</v>
      </c>
      <c r="D3041" t="inlineStr">
        <is>
          <t>VÄSTRA GÖTALANDS LÄN</t>
        </is>
      </c>
      <c r="E3041" t="inlineStr">
        <is>
          <t>TRANEMO</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41188-2019</t>
        </is>
      </c>
      <c r="B3042" s="1" t="n">
        <v>43698</v>
      </c>
      <c r="C3042" s="1" t="n">
        <v>45227</v>
      </c>
      <c r="D3042" t="inlineStr">
        <is>
          <t>VÄSTRA GÖTALANDS LÄN</t>
        </is>
      </c>
      <c r="E3042" t="inlineStr">
        <is>
          <t>TIBRO</t>
        </is>
      </c>
      <c r="G3042" t="n">
        <v>5.2</v>
      </c>
      <c r="H3042" t="n">
        <v>0</v>
      </c>
      <c r="I3042" t="n">
        <v>0</v>
      </c>
      <c r="J3042" t="n">
        <v>0</v>
      </c>
      <c r="K3042" t="n">
        <v>0</v>
      </c>
      <c r="L3042" t="n">
        <v>0</v>
      </c>
      <c r="M3042" t="n">
        <v>0</v>
      </c>
      <c r="N3042" t="n">
        <v>0</v>
      </c>
      <c r="O3042" t="n">
        <v>0</v>
      </c>
      <c r="P3042" t="n">
        <v>0</v>
      </c>
      <c r="Q3042" t="n">
        <v>0</v>
      </c>
      <c r="R3042" s="2" t="inlineStr"/>
    </row>
    <row r="3043" ht="15" customHeight="1">
      <c r="A3043" t="inlineStr">
        <is>
          <t>A 41255-2019</t>
        </is>
      </c>
      <c r="B3043" s="1" t="n">
        <v>43698</v>
      </c>
      <c r="C3043" s="1" t="n">
        <v>45227</v>
      </c>
      <c r="D3043" t="inlineStr">
        <is>
          <t>VÄSTRA GÖTALANDS LÄN</t>
        </is>
      </c>
      <c r="E3043" t="inlineStr">
        <is>
          <t>BENGTSFORS</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41256-2019</t>
        </is>
      </c>
      <c r="B3044" s="1" t="n">
        <v>43698</v>
      </c>
      <c r="C3044" s="1" t="n">
        <v>45227</v>
      </c>
      <c r="D3044" t="inlineStr">
        <is>
          <t>VÄSTRA GÖTALANDS LÄN</t>
        </is>
      </c>
      <c r="E3044" t="inlineStr">
        <is>
          <t>BENGTSFORS</t>
        </is>
      </c>
      <c r="G3044" t="n">
        <v>4.5</v>
      </c>
      <c r="H3044" t="n">
        <v>0</v>
      </c>
      <c r="I3044" t="n">
        <v>0</v>
      </c>
      <c r="J3044" t="n">
        <v>0</v>
      </c>
      <c r="K3044" t="n">
        <v>0</v>
      </c>
      <c r="L3044" t="n">
        <v>0</v>
      </c>
      <c r="M3044" t="n">
        <v>0</v>
      </c>
      <c r="N3044" t="n">
        <v>0</v>
      </c>
      <c r="O3044" t="n">
        <v>0</v>
      </c>
      <c r="P3044" t="n">
        <v>0</v>
      </c>
      <c r="Q3044" t="n">
        <v>0</v>
      </c>
      <c r="R3044" s="2" t="inlineStr"/>
    </row>
    <row r="3045" ht="15" customHeight="1">
      <c r="A3045" t="inlineStr">
        <is>
          <t>A 41404-2019</t>
        </is>
      </c>
      <c r="B3045" s="1" t="n">
        <v>43698</v>
      </c>
      <c r="C3045" s="1" t="n">
        <v>45227</v>
      </c>
      <c r="D3045" t="inlineStr">
        <is>
          <t>VÄSTRA GÖTALANDS LÄN</t>
        </is>
      </c>
      <c r="E3045" t="inlineStr">
        <is>
          <t>TRANEMO</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41689-2019</t>
        </is>
      </c>
      <c r="B3046" s="1" t="n">
        <v>43699</v>
      </c>
      <c r="C3046" s="1" t="n">
        <v>45227</v>
      </c>
      <c r="D3046" t="inlineStr">
        <is>
          <t>VÄSTRA GÖTALANDS LÄN</t>
        </is>
      </c>
      <c r="E3046" t="inlineStr">
        <is>
          <t>SKARA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41735-2019</t>
        </is>
      </c>
      <c r="B3047" s="1" t="n">
        <v>43699</v>
      </c>
      <c r="C3047" s="1" t="n">
        <v>45227</v>
      </c>
      <c r="D3047" t="inlineStr">
        <is>
          <t>VÄSTRA GÖTALANDS LÄN</t>
        </is>
      </c>
      <c r="E3047" t="inlineStr">
        <is>
          <t>FALKÖPING</t>
        </is>
      </c>
      <c r="G3047" t="n">
        <v>4.7</v>
      </c>
      <c r="H3047" t="n">
        <v>0</v>
      </c>
      <c r="I3047" t="n">
        <v>0</v>
      </c>
      <c r="J3047" t="n">
        <v>0</v>
      </c>
      <c r="K3047" t="n">
        <v>0</v>
      </c>
      <c r="L3047" t="n">
        <v>0</v>
      </c>
      <c r="M3047" t="n">
        <v>0</v>
      </c>
      <c r="N3047" t="n">
        <v>0</v>
      </c>
      <c r="O3047" t="n">
        <v>0</v>
      </c>
      <c r="P3047" t="n">
        <v>0</v>
      </c>
      <c r="Q3047" t="n">
        <v>0</v>
      </c>
      <c r="R3047" s="2" t="inlineStr"/>
    </row>
    <row r="3048" ht="15" customHeight="1">
      <c r="A3048" t="inlineStr">
        <is>
          <t>A 42509-2019</t>
        </is>
      </c>
      <c r="B3048" s="1" t="n">
        <v>43699</v>
      </c>
      <c r="C3048" s="1" t="n">
        <v>45227</v>
      </c>
      <c r="D3048" t="inlineStr">
        <is>
          <t>VÄSTRA GÖTALANDS LÄN</t>
        </is>
      </c>
      <c r="E3048" t="inlineStr">
        <is>
          <t>VÄNERSBORG</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42706-2019</t>
        </is>
      </c>
      <c r="B3049" s="1" t="n">
        <v>43699</v>
      </c>
      <c r="C3049" s="1" t="n">
        <v>45227</v>
      </c>
      <c r="D3049" t="inlineStr">
        <is>
          <t>VÄSTRA GÖTALANDS LÄN</t>
        </is>
      </c>
      <c r="E3049" t="inlineStr">
        <is>
          <t>FALKÖPING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41560-2019</t>
        </is>
      </c>
      <c r="B3050" s="1" t="n">
        <v>43699</v>
      </c>
      <c r="C3050" s="1" t="n">
        <v>45227</v>
      </c>
      <c r="D3050" t="inlineStr">
        <is>
          <t>VÄSTRA GÖTALANDS LÄN</t>
        </is>
      </c>
      <c r="E3050" t="inlineStr">
        <is>
          <t>HERRLJUNGA</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42515-2019</t>
        </is>
      </c>
      <c r="B3051" s="1" t="n">
        <v>43699</v>
      </c>
      <c r="C3051" s="1" t="n">
        <v>45227</v>
      </c>
      <c r="D3051" t="inlineStr">
        <is>
          <t>VÄSTRA GÖTALANDS LÄN</t>
        </is>
      </c>
      <c r="E3051" t="inlineStr">
        <is>
          <t>VÄNERSBORG</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41607-2019</t>
        </is>
      </c>
      <c r="B3052" s="1" t="n">
        <v>43699</v>
      </c>
      <c r="C3052" s="1" t="n">
        <v>45227</v>
      </c>
      <c r="D3052" t="inlineStr">
        <is>
          <t>VÄSTRA GÖTALANDS LÄN</t>
        </is>
      </c>
      <c r="E3052" t="inlineStr">
        <is>
          <t>BENGTSFORS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41692-2019</t>
        </is>
      </c>
      <c r="B3053" s="1" t="n">
        <v>43699</v>
      </c>
      <c r="C3053" s="1" t="n">
        <v>45227</v>
      </c>
      <c r="D3053" t="inlineStr">
        <is>
          <t>VÄSTRA GÖTALANDS LÄN</t>
        </is>
      </c>
      <c r="E3053" t="inlineStr">
        <is>
          <t>SKARA</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42259-2019</t>
        </is>
      </c>
      <c r="B3054" s="1" t="n">
        <v>43699</v>
      </c>
      <c r="C3054" s="1" t="n">
        <v>45227</v>
      </c>
      <c r="D3054" t="inlineStr">
        <is>
          <t>VÄSTRA GÖTALANDS LÄN</t>
        </is>
      </c>
      <c r="E3054" t="inlineStr">
        <is>
          <t>BORÅS</t>
        </is>
      </c>
      <c r="F3054" t="inlineStr">
        <is>
          <t>Sveaskog</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41549-2019</t>
        </is>
      </c>
      <c r="B3055" s="1" t="n">
        <v>43699</v>
      </c>
      <c r="C3055" s="1" t="n">
        <v>45227</v>
      </c>
      <c r="D3055" t="inlineStr">
        <is>
          <t>VÄSTRA GÖTALANDS LÄN</t>
        </is>
      </c>
      <c r="E3055" t="inlineStr">
        <is>
          <t>SVENLJUNGA</t>
        </is>
      </c>
      <c r="F3055" t="inlineStr">
        <is>
          <t>Kyrkan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41723-2019</t>
        </is>
      </c>
      <c r="B3056" s="1" t="n">
        <v>43699</v>
      </c>
      <c r="C3056" s="1" t="n">
        <v>45227</v>
      </c>
      <c r="D3056" t="inlineStr">
        <is>
          <t>VÄSTRA GÖTALANDS LÄN</t>
        </is>
      </c>
      <c r="E3056" t="inlineStr">
        <is>
          <t>ALINGSÅS</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44978-2019</t>
        </is>
      </c>
      <c r="B3057" s="1" t="n">
        <v>43699</v>
      </c>
      <c r="C3057" s="1" t="n">
        <v>45227</v>
      </c>
      <c r="D3057" t="inlineStr">
        <is>
          <t>VÄSTRA GÖTALANDS LÄN</t>
        </is>
      </c>
      <c r="E3057" t="inlineStr">
        <is>
          <t>TRANEMO</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42999-2019</t>
        </is>
      </c>
      <c r="B3058" s="1" t="n">
        <v>43700</v>
      </c>
      <c r="C3058" s="1" t="n">
        <v>45227</v>
      </c>
      <c r="D3058" t="inlineStr">
        <is>
          <t>VÄSTRA GÖTALANDS LÄN</t>
        </is>
      </c>
      <c r="E3058" t="inlineStr">
        <is>
          <t>ULRICEHAMN</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43016-2019</t>
        </is>
      </c>
      <c r="B3059" s="1" t="n">
        <v>43700</v>
      </c>
      <c r="C3059" s="1" t="n">
        <v>45227</v>
      </c>
      <c r="D3059" t="inlineStr">
        <is>
          <t>VÄSTRA GÖTALANDS LÄN</t>
        </is>
      </c>
      <c r="E3059" t="inlineStr">
        <is>
          <t>FALKÖPING</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43104-2019</t>
        </is>
      </c>
      <c r="B3060" s="1" t="n">
        <v>43700</v>
      </c>
      <c r="C3060" s="1" t="n">
        <v>45227</v>
      </c>
      <c r="D3060" t="inlineStr">
        <is>
          <t>VÄSTRA GÖTALANDS LÄN</t>
        </is>
      </c>
      <c r="E3060" t="inlineStr">
        <is>
          <t>VARA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43087-2019</t>
        </is>
      </c>
      <c r="B3061" s="1" t="n">
        <v>43700</v>
      </c>
      <c r="C3061" s="1" t="n">
        <v>45227</v>
      </c>
      <c r="D3061" t="inlineStr">
        <is>
          <t>VÄSTRA GÖTALANDS LÄN</t>
        </is>
      </c>
      <c r="E3061" t="inlineStr">
        <is>
          <t>FALKÖPING</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43004-2019</t>
        </is>
      </c>
      <c r="B3062" s="1" t="n">
        <v>43700</v>
      </c>
      <c r="C3062" s="1" t="n">
        <v>45227</v>
      </c>
      <c r="D3062" t="inlineStr">
        <is>
          <t>VÄSTRA GÖTALANDS LÄN</t>
        </is>
      </c>
      <c r="E3062" t="inlineStr">
        <is>
          <t>HERRLJUNGA</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43024-2019</t>
        </is>
      </c>
      <c r="B3063" s="1" t="n">
        <v>43700</v>
      </c>
      <c r="C3063" s="1" t="n">
        <v>45227</v>
      </c>
      <c r="D3063" t="inlineStr">
        <is>
          <t>VÄSTRA GÖTALANDS LÄN</t>
        </is>
      </c>
      <c r="E3063" t="inlineStr">
        <is>
          <t>FALKÖPING</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43113-2019</t>
        </is>
      </c>
      <c r="B3064" s="1" t="n">
        <v>43700</v>
      </c>
      <c r="C3064" s="1" t="n">
        <v>45227</v>
      </c>
      <c r="D3064" t="inlineStr">
        <is>
          <t>VÄSTRA GÖTALANDS LÄN</t>
        </is>
      </c>
      <c r="E3064" t="inlineStr">
        <is>
          <t>VARA</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41837-2019</t>
        </is>
      </c>
      <c r="B3065" s="1" t="n">
        <v>43700</v>
      </c>
      <c r="C3065" s="1" t="n">
        <v>45227</v>
      </c>
      <c r="D3065" t="inlineStr">
        <is>
          <t>VÄSTRA GÖTALANDS LÄN</t>
        </is>
      </c>
      <c r="E3065" t="inlineStr">
        <is>
          <t>FALKÖPING</t>
        </is>
      </c>
      <c r="G3065" t="n">
        <v>9.199999999999999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41948-2019</t>
        </is>
      </c>
      <c r="B3066" s="1" t="n">
        <v>43700</v>
      </c>
      <c r="C3066" s="1" t="n">
        <v>45227</v>
      </c>
      <c r="D3066" t="inlineStr">
        <is>
          <t>VÄSTRA GÖTALANDS LÄN</t>
        </is>
      </c>
      <c r="E3066" t="inlineStr">
        <is>
          <t>VÄNERSBORG</t>
        </is>
      </c>
      <c r="G3066" t="n">
        <v>0.8</v>
      </c>
      <c r="H3066" t="n">
        <v>0</v>
      </c>
      <c r="I3066" t="n">
        <v>0</v>
      </c>
      <c r="J3066" t="n">
        <v>0</v>
      </c>
      <c r="K3066" t="n">
        <v>0</v>
      </c>
      <c r="L3066" t="n">
        <v>0</v>
      </c>
      <c r="M3066" t="n">
        <v>0</v>
      </c>
      <c r="N3066" t="n">
        <v>0</v>
      </c>
      <c r="O3066" t="n">
        <v>0</v>
      </c>
      <c r="P3066" t="n">
        <v>0</v>
      </c>
      <c r="Q3066" t="n">
        <v>0</v>
      </c>
      <c r="R3066" s="2" t="inlineStr"/>
    </row>
    <row r="3067" ht="15" customHeight="1">
      <c r="A3067" t="inlineStr">
        <is>
          <t>A 43011-2019</t>
        </is>
      </c>
      <c r="B3067" s="1" t="n">
        <v>43700</v>
      </c>
      <c r="C3067" s="1" t="n">
        <v>45227</v>
      </c>
      <c r="D3067" t="inlineStr">
        <is>
          <t>VÄSTRA GÖTALANDS LÄN</t>
        </is>
      </c>
      <c r="E3067" t="inlineStr">
        <is>
          <t>FALKÖPING</t>
        </is>
      </c>
      <c r="G3067" t="n">
        <v>8.4</v>
      </c>
      <c r="H3067" t="n">
        <v>0</v>
      </c>
      <c r="I3067" t="n">
        <v>0</v>
      </c>
      <c r="J3067" t="n">
        <v>0</v>
      </c>
      <c r="K3067" t="n">
        <v>0</v>
      </c>
      <c r="L3067" t="n">
        <v>0</v>
      </c>
      <c r="M3067" t="n">
        <v>0</v>
      </c>
      <c r="N3067" t="n">
        <v>0</v>
      </c>
      <c r="O3067" t="n">
        <v>0</v>
      </c>
      <c r="P3067" t="n">
        <v>0</v>
      </c>
      <c r="Q3067" t="n">
        <v>0</v>
      </c>
      <c r="R3067" s="2" t="inlineStr"/>
    </row>
    <row r="3068" ht="15" customHeight="1">
      <c r="A3068" t="inlineStr">
        <is>
          <t>A 43030-2019</t>
        </is>
      </c>
      <c r="B3068" s="1" t="n">
        <v>43700</v>
      </c>
      <c r="C3068" s="1" t="n">
        <v>45227</v>
      </c>
      <c r="D3068" t="inlineStr">
        <is>
          <t>VÄSTRA GÖTALANDS LÄN</t>
        </is>
      </c>
      <c r="E3068" t="inlineStr">
        <is>
          <t>ULRICEHAMN</t>
        </is>
      </c>
      <c r="G3068" t="n">
        <v>5.8</v>
      </c>
      <c r="H3068" t="n">
        <v>0</v>
      </c>
      <c r="I3068" t="n">
        <v>0</v>
      </c>
      <c r="J3068" t="n">
        <v>0</v>
      </c>
      <c r="K3068" t="n">
        <v>0</v>
      </c>
      <c r="L3068" t="n">
        <v>0</v>
      </c>
      <c r="M3068" t="n">
        <v>0</v>
      </c>
      <c r="N3068" t="n">
        <v>0</v>
      </c>
      <c r="O3068" t="n">
        <v>0</v>
      </c>
      <c r="P3068" t="n">
        <v>0</v>
      </c>
      <c r="Q3068" t="n">
        <v>0</v>
      </c>
      <c r="R3068" s="2" t="inlineStr"/>
    </row>
    <row r="3069" ht="15" customHeight="1">
      <c r="A3069" t="inlineStr">
        <is>
          <t>A 43129-2019</t>
        </is>
      </c>
      <c r="B3069" s="1" t="n">
        <v>43700</v>
      </c>
      <c r="C3069" s="1" t="n">
        <v>45227</v>
      </c>
      <c r="D3069" t="inlineStr">
        <is>
          <t>VÄSTRA GÖTALANDS LÄN</t>
        </is>
      </c>
      <c r="E3069" t="inlineStr">
        <is>
          <t>FALKÖPING</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42293-2019</t>
        </is>
      </c>
      <c r="B3070" s="1" t="n">
        <v>43703</v>
      </c>
      <c r="C3070" s="1" t="n">
        <v>45227</v>
      </c>
      <c r="D3070" t="inlineStr">
        <is>
          <t>VÄSTRA GÖTALANDS LÄN</t>
        </is>
      </c>
      <c r="E3070" t="inlineStr">
        <is>
          <t>HJO</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43423-2019</t>
        </is>
      </c>
      <c r="B3071" s="1" t="n">
        <v>43703</v>
      </c>
      <c r="C3071" s="1" t="n">
        <v>45227</v>
      </c>
      <c r="D3071" t="inlineStr">
        <is>
          <t>VÄSTRA GÖTALANDS LÄN</t>
        </is>
      </c>
      <c r="E3071" t="inlineStr">
        <is>
          <t>MELLERUD</t>
        </is>
      </c>
      <c r="F3071" t="inlineStr">
        <is>
          <t>Övriga Aktiebolag</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42176-2019</t>
        </is>
      </c>
      <c r="B3072" s="1" t="n">
        <v>43703</v>
      </c>
      <c r="C3072" s="1" t="n">
        <v>45227</v>
      </c>
      <c r="D3072" t="inlineStr">
        <is>
          <t>VÄSTRA GÖTALANDS LÄN</t>
        </is>
      </c>
      <c r="E3072" t="inlineStr">
        <is>
          <t>KARLSBORG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42274-2019</t>
        </is>
      </c>
      <c r="B3073" s="1" t="n">
        <v>43703</v>
      </c>
      <c r="C3073" s="1" t="n">
        <v>45227</v>
      </c>
      <c r="D3073" t="inlineStr">
        <is>
          <t>VÄSTRA GÖTALANDS LÄN</t>
        </is>
      </c>
      <c r="E3073" t="inlineStr">
        <is>
          <t>HJO</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42379-2019</t>
        </is>
      </c>
      <c r="B3074" s="1" t="n">
        <v>43703</v>
      </c>
      <c r="C3074" s="1" t="n">
        <v>45227</v>
      </c>
      <c r="D3074" t="inlineStr">
        <is>
          <t>VÄSTRA GÖTALANDS LÄN</t>
        </is>
      </c>
      <c r="E3074" t="inlineStr">
        <is>
          <t>LIDKÖPING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42363-2019</t>
        </is>
      </c>
      <c r="B3075" s="1" t="n">
        <v>43703</v>
      </c>
      <c r="C3075" s="1" t="n">
        <v>45227</v>
      </c>
      <c r="D3075" t="inlineStr">
        <is>
          <t>VÄSTRA GÖTALANDS LÄN</t>
        </is>
      </c>
      <c r="E3075" t="inlineStr">
        <is>
          <t>TROLLHÄTTAN</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42378-2019</t>
        </is>
      </c>
      <c r="B3076" s="1" t="n">
        <v>43703</v>
      </c>
      <c r="C3076" s="1" t="n">
        <v>45227</v>
      </c>
      <c r="D3076" t="inlineStr">
        <is>
          <t>VÄSTRA GÖTALANDS LÄN</t>
        </is>
      </c>
      <c r="E3076" t="inlineStr">
        <is>
          <t>LIDKÖPING</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43458-2019</t>
        </is>
      </c>
      <c r="B3077" s="1" t="n">
        <v>43703</v>
      </c>
      <c r="C3077" s="1" t="n">
        <v>45227</v>
      </c>
      <c r="D3077" t="inlineStr">
        <is>
          <t>VÄSTRA GÖTALANDS LÄN</t>
        </is>
      </c>
      <c r="E3077" t="inlineStr">
        <is>
          <t>LIDKÖPING</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42524-2019</t>
        </is>
      </c>
      <c r="B3078" s="1" t="n">
        <v>43704</v>
      </c>
      <c r="C3078" s="1" t="n">
        <v>45227</v>
      </c>
      <c r="D3078" t="inlineStr">
        <is>
          <t>VÄSTRA GÖTALANDS LÄN</t>
        </is>
      </c>
      <c r="E3078" t="inlineStr">
        <is>
          <t>SKÖVDE</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42582-2019</t>
        </is>
      </c>
      <c r="B3079" s="1" t="n">
        <v>43704</v>
      </c>
      <c r="C3079" s="1" t="n">
        <v>45227</v>
      </c>
      <c r="D3079" t="inlineStr">
        <is>
          <t>VÄSTRA GÖTALANDS LÄN</t>
        </is>
      </c>
      <c r="E3079" t="inlineStr">
        <is>
          <t>TROLLHÄTTAN</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42526-2019</t>
        </is>
      </c>
      <c r="B3080" s="1" t="n">
        <v>43704</v>
      </c>
      <c r="C3080" s="1" t="n">
        <v>45227</v>
      </c>
      <c r="D3080" t="inlineStr">
        <is>
          <t>VÄSTRA GÖTALANDS LÄN</t>
        </is>
      </c>
      <c r="E3080" t="inlineStr">
        <is>
          <t>GULLSPÅNG</t>
        </is>
      </c>
      <c r="G3080" t="n">
        <v>4.2</v>
      </c>
      <c r="H3080" t="n">
        <v>0</v>
      </c>
      <c r="I3080" t="n">
        <v>0</v>
      </c>
      <c r="J3080" t="n">
        <v>0</v>
      </c>
      <c r="K3080" t="n">
        <v>0</v>
      </c>
      <c r="L3080" t="n">
        <v>0</v>
      </c>
      <c r="M3080" t="n">
        <v>0</v>
      </c>
      <c r="N3080" t="n">
        <v>0</v>
      </c>
      <c r="O3080" t="n">
        <v>0</v>
      </c>
      <c r="P3080" t="n">
        <v>0</v>
      </c>
      <c r="Q3080" t="n">
        <v>0</v>
      </c>
      <c r="R3080" s="2" t="inlineStr"/>
    </row>
    <row r="3081" ht="15" customHeight="1">
      <c r="A3081" t="inlineStr">
        <is>
          <t>A 42550-2019</t>
        </is>
      </c>
      <c r="B3081" s="1" t="n">
        <v>43704</v>
      </c>
      <c r="C3081" s="1" t="n">
        <v>45227</v>
      </c>
      <c r="D3081" t="inlineStr">
        <is>
          <t>VÄSTRA GÖTALANDS LÄN</t>
        </is>
      </c>
      <c r="E3081" t="inlineStr">
        <is>
          <t>LIDKÖPING</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42693-2019</t>
        </is>
      </c>
      <c r="B3082" s="1" t="n">
        <v>43704</v>
      </c>
      <c r="C3082" s="1" t="n">
        <v>45227</v>
      </c>
      <c r="D3082" t="inlineStr">
        <is>
          <t>VÄSTRA GÖTALANDS LÄN</t>
        </is>
      </c>
      <c r="E3082" t="inlineStr">
        <is>
          <t>MARK</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42532-2019</t>
        </is>
      </c>
      <c r="B3083" s="1" t="n">
        <v>43704</v>
      </c>
      <c r="C3083" s="1" t="n">
        <v>45227</v>
      </c>
      <c r="D3083" t="inlineStr">
        <is>
          <t>VÄSTRA GÖTALANDS LÄN</t>
        </is>
      </c>
      <c r="E3083" t="inlineStr">
        <is>
          <t>MARK</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42614-2019</t>
        </is>
      </c>
      <c r="B3084" s="1" t="n">
        <v>43704</v>
      </c>
      <c r="C3084" s="1" t="n">
        <v>45227</v>
      </c>
      <c r="D3084" t="inlineStr">
        <is>
          <t>VÄSTRA GÖTALANDS LÄN</t>
        </is>
      </c>
      <c r="E3084" t="inlineStr">
        <is>
          <t>ULRICEHAMN</t>
        </is>
      </c>
      <c r="F3084" t="inlineStr">
        <is>
          <t>Sveaskog</t>
        </is>
      </c>
      <c r="G3084" t="n">
        <v>7.2</v>
      </c>
      <c r="H3084" t="n">
        <v>0</v>
      </c>
      <c r="I3084" t="n">
        <v>0</v>
      </c>
      <c r="J3084" t="n">
        <v>0</v>
      </c>
      <c r="K3084" t="n">
        <v>0</v>
      </c>
      <c r="L3084" t="n">
        <v>0</v>
      </c>
      <c r="M3084" t="n">
        <v>0</v>
      </c>
      <c r="N3084" t="n">
        <v>0</v>
      </c>
      <c r="O3084" t="n">
        <v>0</v>
      </c>
      <c r="P3084" t="n">
        <v>0</v>
      </c>
      <c r="Q3084" t="n">
        <v>0</v>
      </c>
      <c r="R3084" s="2" t="inlineStr"/>
    </row>
    <row r="3085" ht="15" customHeight="1">
      <c r="A3085" t="inlineStr">
        <is>
          <t>A 43437-2019</t>
        </is>
      </c>
      <c r="B3085" s="1" t="n">
        <v>43704</v>
      </c>
      <c r="C3085" s="1" t="n">
        <v>45227</v>
      </c>
      <c r="D3085" t="inlineStr">
        <is>
          <t>VÄSTRA GÖTALANDS LÄN</t>
        </is>
      </c>
      <c r="E3085" t="inlineStr">
        <is>
          <t>MARIESTAD</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42808-2019</t>
        </is>
      </c>
      <c r="B3086" s="1" t="n">
        <v>43705</v>
      </c>
      <c r="C3086" s="1" t="n">
        <v>45227</v>
      </c>
      <c r="D3086" t="inlineStr">
        <is>
          <t>VÄSTRA GÖTALANDS LÄN</t>
        </is>
      </c>
      <c r="E3086" t="inlineStr">
        <is>
          <t>ULRICEHAMN</t>
        </is>
      </c>
      <c r="F3086" t="inlineStr">
        <is>
          <t>Sveaskog</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42964-2019</t>
        </is>
      </c>
      <c r="B3087" s="1" t="n">
        <v>43705</v>
      </c>
      <c r="C3087" s="1" t="n">
        <v>45227</v>
      </c>
      <c r="D3087" t="inlineStr">
        <is>
          <t>VÄSTRA GÖTALANDS LÄN</t>
        </is>
      </c>
      <c r="E3087" t="inlineStr">
        <is>
          <t>KARLSBORG</t>
        </is>
      </c>
      <c r="F3087" t="inlineStr">
        <is>
          <t>Övriga statliga verk och myndigheter</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43032-2019</t>
        </is>
      </c>
      <c r="B3088" s="1" t="n">
        <v>43705</v>
      </c>
      <c r="C3088" s="1" t="n">
        <v>45227</v>
      </c>
      <c r="D3088" t="inlineStr">
        <is>
          <t>VÄSTRA GÖTALANDS LÄN</t>
        </is>
      </c>
      <c r="E3088" t="inlineStr">
        <is>
          <t>SVENLJUNGA</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44251-2019</t>
        </is>
      </c>
      <c r="B3089" s="1" t="n">
        <v>43705</v>
      </c>
      <c r="C3089" s="1" t="n">
        <v>45227</v>
      </c>
      <c r="D3089" t="inlineStr">
        <is>
          <t>VÄSTRA GÖTALANDS LÄN</t>
        </is>
      </c>
      <c r="E3089" t="inlineStr">
        <is>
          <t>VARA</t>
        </is>
      </c>
      <c r="G3089" t="n">
        <v>5.1</v>
      </c>
      <c r="H3089" t="n">
        <v>0</v>
      </c>
      <c r="I3089" t="n">
        <v>0</v>
      </c>
      <c r="J3089" t="n">
        <v>0</v>
      </c>
      <c r="K3089" t="n">
        <v>0</v>
      </c>
      <c r="L3089" t="n">
        <v>0</v>
      </c>
      <c r="M3089" t="n">
        <v>0</v>
      </c>
      <c r="N3089" t="n">
        <v>0</v>
      </c>
      <c r="O3089" t="n">
        <v>0</v>
      </c>
      <c r="P3089" t="n">
        <v>0</v>
      </c>
      <c r="Q3089" t="n">
        <v>0</v>
      </c>
      <c r="R3089" s="2" t="inlineStr"/>
    </row>
    <row r="3090" ht="15" customHeight="1">
      <c r="A3090" t="inlineStr">
        <is>
          <t>A 42811-2019</t>
        </is>
      </c>
      <c r="B3090" s="1" t="n">
        <v>43705</v>
      </c>
      <c r="C3090" s="1" t="n">
        <v>45227</v>
      </c>
      <c r="D3090" t="inlineStr">
        <is>
          <t>VÄSTRA GÖTALANDS LÄN</t>
        </is>
      </c>
      <c r="E3090" t="inlineStr">
        <is>
          <t>ULRICEHAMN</t>
        </is>
      </c>
      <c r="F3090" t="inlineStr">
        <is>
          <t>Sveaskog</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42924-2019</t>
        </is>
      </c>
      <c r="B3091" s="1" t="n">
        <v>43705</v>
      </c>
      <c r="C3091" s="1" t="n">
        <v>45227</v>
      </c>
      <c r="D3091" t="inlineStr">
        <is>
          <t>VÄSTRA GÖTALANDS LÄN</t>
        </is>
      </c>
      <c r="E3091" t="inlineStr">
        <is>
          <t>BENGTSFORS</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42965-2019</t>
        </is>
      </c>
      <c r="B3092" s="1" t="n">
        <v>43705</v>
      </c>
      <c r="C3092" s="1" t="n">
        <v>45227</v>
      </c>
      <c r="D3092" t="inlineStr">
        <is>
          <t>VÄSTRA GÖTALANDS LÄN</t>
        </is>
      </c>
      <c r="E3092" t="inlineStr">
        <is>
          <t>KARLSBORG</t>
        </is>
      </c>
      <c r="F3092" t="inlineStr">
        <is>
          <t>Övriga statliga verk och myndigheter</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43144-2019</t>
        </is>
      </c>
      <c r="B3093" s="1" t="n">
        <v>43705</v>
      </c>
      <c r="C3093" s="1" t="n">
        <v>45227</v>
      </c>
      <c r="D3093" t="inlineStr">
        <is>
          <t>VÄSTRA GÖTALANDS LÄN</t>
        </is>
      </c>
      <c r="E3093" t="inlineStr">
        <is>
          <t>TANUM</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42803-2019</t>
        </is>
      </c>
      <c r="B3094" s="1" t="n">
        <v>43705</v>
      </c>
      <c r="C3094" s="1" t="n">
        <v>45227</v>
      </c>
      <c r="D3094" t="inlineStr">
        <is>
          <t>VÄSTRA GÖTALANDS LÄN</t>
        </is>
      </c>
      <c r="E3094" t="inlineStr">
        <is>
          <t>ULRICEHAMN</t>
        </is>
      </c>
      <c r="F3094" t="inlineStr">
        <is>
          <t>Sveaskog</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42812-2019</t>
        </is>
      </c>
      <c r="B3095" s="1" t="n">
        <v>43705</v>
      </c>
      <c r="C3095" s="1" t="n">
        <v>45227</v>
      </c>
      <c r="D3095" t="inlineStr">
        <is>
          <t>VÄSTRA GÖTALANDS LÄN</t>
        </is>
      </c>
      <c r="E3095" t="inlineStr">
        <is>
          <t>ULRICEHAMN</t>
        </is>
      </c>
      <c r="F3095" t="inlineStr">
        <is>
          <t>Sveaskog</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42861-2019</t>
        </is>
      </c>
      <c r="B3096" s="1" t="n">
        <v>43705</v>
      </c>
      <c r="C3096" s="1" t="n">
        <v>45227</v>
      </c>
      <c r="D3096" t="inlineStr">
        <is>
          <t>VÄSTRA GÖTALANDS LÄN</t>
        </is>
      </c>
      <c r="E3096" t="inlineStr">
        <is>
          <t>SKÖVDE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42807-2019</t>
        </is>
      </c>
      <c r="B3097" s="1" t="n">
        <v>43705</v>
      </c>
      <c r="C3097" s="1" t="n">
        <v>45227</v>
      </c>
      <c r="D3097" t="inlineStr">
        <is>
          <t>VÄSTRA GÖTALANDS LÄN</t>
        </is>
      </c>
      <c r="E3097" t="inlineStr">
        <is>
          <t>ULRICEHAMN</t>
        </is>
      </c>
      <c r="F3097" t="inlineStr">
        <is>
          <t>Sveaskog</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42815-2019</t>
        </is>
      </c>
      <c r="B3098" s="1" t="n">
        <v>43705</v>
      </c>
      <c r="C3098" s="1" t="n">
        <v>45227</v>
      </c>
      <c r="D3098" t="inlineStr">
        <is>
          <t>VÄSTRA GÖTALANDS LÄN</t>
        </is>
      </c>
      <c r="E3098" t="inlineStr">
        <is>
          <t>BORÅS</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42867-2019</t>
        </is>
      </c>
      <c r="B3099" s="1" t="n">
        <v>43705</v>
      </c>
      <c r="C3099" s="1" t="n">
        <v>45227</v>
      </c>
      <c r="D3099" t="inlineStr">
        <is>
          <t>VÄSTRA GÖTALANDS LÄN</t>
        </is>
      </c>
      <c r="E3099" t="inlineStr">
        <is>
          <t>GULLSPÅNG</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43233-2019</t>
        </is>
      </c>
      <c r="B3100" s="1" t="n">
        <v>43706</v>
      </c>
      <c r="C3100" s="1" t="n">
        <v>45227</v>
      </c>
      <c r="D3100" t="inlineStr">
        <is>
          <t>VÄSTRA GÖTALANDS LÄN</t>
        </is>
      </c>
      <c r="E3100" t="inlineStr">
        <is>
          <t>TROLLHÄTTAN</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43358-2019</t>
        </is>
      </c>
      <c r="B3101" s="1" t="n">
        <v>43706</v>
      </c>
      <c r="C3101" s="1" t="n">
        <v>45227</v>
      </c>
      <c r="D3101" t="inlineStr">
        <is>
          <t>VÄSTRA GÖTALANDS LÄN</t>
        </is>
      </c>
      <c r="E3101" t="inlineStr">
        <is>
          <t>BORÅS</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43393-2019</t>
        </is>
      </c>
      <c r="B3102" s="1" t="n">
        <v>43706</v>
      </c>
      <c r="C3102" s="1" t="n">
        <v>45227</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43431-2019</t>
        </is>
      </c>
      <c r="B3103" s="1" t="n">
        <v>43706</v>
      </c>
      <c r="C3103" s="1" t="n">
        <v>45227</v>
      </c>
      <c r="D3103" t="inlineStr">
        <is>
          <t>VÄSTRA GÖTALANDS LÄN</t>
        </is>
      </c>
      <c r="E3103" t="inlineStr">
        <is>
          <t>SVENLJUNGA</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43528-2019</t>
        </is>
      </c>
      <c r="B3104" s="1" t="n">
        <v>43706</v>
      </c>
      <c r="C3104" s="1" t="n">
        <v>45227</v>
      </c>
      <c r="D3104" t="inlineStr">
        <is>
          <t>VÄSTRA GÖTALANDS LÄN</t>
        </is>
      </c>
      <c r="E3104" t="inlineStr">
        <is>
          <t>BORÅS</t>
        </is>
      </c>
      <c r="F3104" t="inlineStr">
        <is>
          <t>Sveaskog</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43562-2019</t>
        </is>
      </c>
      <c r="B3105" s="1" t="n">
        <v>43706</v>
      </c>
      <c r="C3105" s="1" t="n">
        <v>45227</v>
      </c>
      <c r="D3105" t="inlineStr">
        <is>
          <t>VÄSTRA GÖTALANDS LÄN</t>
        </is>
      </c>
      <c r="E3105" t="inlineStr">
        <is>
          <t>LIDKÖPING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43271-2019</t>
        </is>
      </c>
      <c r="B3106" s="1" t="n">
        <v>43706</v>
      </c>
      <c r="C3106" s="1" t="n">
        <v>45227</v>
      </c>
      <c r="D3106" t="inlineStr">
        <is>
          <t>VÄSTRA GÖTALANDS LÄN</t>
        </is>
      </c>
      <c r="E3106" t="inlineStr">
        <is>
          <t>MARK</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43385-2019</t>
        </is>
      </c>
      <c r="B3107" s="1" t="n">
        <v>43706</v>
      </c>
      <c r="C3107" s="1" t="n">
        <v>45227</v>
      </c>
      <c r="D3107" t="inlineStr">
        <is>
          <t>VÄSTRA GÖTALANDS LÄN</t>
        </is>
      </c>
      <c r="E3107" t="inlineStr">
        <is>
          <t>VARA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43278-2019</t>
        </is>
      </c>
      <c r="B3108" s="1" t="n">
        <v>43706</v>
      </c>
      <c r="C3108" s="1" t="n">
        <v>45227</v>
      </c>
      <c r="D3108" t="inlineStr">
        <is>
          <t>VÄSTRA GÖTALANDS LÄN</t>
        </is>
      </c>
      <c r="E3108" t="inlineStr">
        <is>
          <t>MARIESTAD</t>
        </is>
      </c>
      <c r="G3108" t="n">
        <v>1.8</v>
      </c>
      <c r="H3108" t="n">
        <v>0</v>
      </c>
      <c r="I3108" t="n">
        <v>0</v>
      </c>
      <c r="J3108" t="n">
        <v>0</v>
      </c>
      <c r="K3108" t="n">
        <v>0</v>
      </c>
      <c r="L3108" t="n">
        <v>0</v>
      </c>
      <c r="M3108" t="n">
        <v>0</v>
      </c>
      <c r="N3108" t="n">
        <v>0</v>
      </c>
      <c r="O3108" t="n">
        <v>0</v>
      </c>
      <c r="P3108" t="n">
        <v>0</v>
      </c>
      <c r="Q3108" t="n">
        <v>0</v>
      </c>
      <c r="R3108" s="2" t="inlineStr"/>
    </row>
    <row r="3109" ht="15" customHeight="1">
      <c r="A3109" t="inlineStr">
        <is>
          <t>A 43341-2019</t>
        </is>
      </c>
      <c r="B3109" s="1" t="n">
        <v>43706</v>
      </c>
      <c r="C3109" s="1" t="n">
        <v>45227</v>
      </c>
      <c r="D3109" t="inlineStr">
        <is>
          <t>VÄSTRA GÖTALANDS LÄN</t>
        </is>
      </c>
      <c r="E3109" t="inlineStr">
        <is>
          <t>MARIESTAD</t>
        </is>
      </c>
      <c r="F3109" t="inlineStr">
        <is>
          <t>Kyrkan</t>
        </is>
      </c>
      <c r="G3109" t="n">
        <v>1.8</v>
      </c>
      <c r="H3109" t="n">
        <v>0</v>
      </c>
      <c r="I3109" t="n">
        <v>0</v>
      </c>
      <c r="J3109" t="n">
        <v>0</v>
      </c>
      <c r="K3109" t="n">
        <v>0</v>
      </c>
      <c r="L3109" t="n">
        <v>0</v>
      </c>
      <c r="M3109" t="n">
        <v>0</v>
      </c>
      <c r="N3109" t="n">
        <v>0</v>
      </c>
      <c r="O3109" t="n">
        <v>0</v>
      </c>
      <c r="P3109" t="n">
        <v>0</v>
      </c>
      <c r="Q3109" t="n">
        <v>0</v>
      </c>
      <c r="R3109" s="2" t="inlineStr"/>
      <c r="U3109">
        <f>HYPERLINK("https://klasma.github.io/Logging_1493/knärot/A 43341-2019 karta knärot.png", "A 43341-2019")</f>
        <v/>
      </c>
      <c r="V3109">
        <f>HYPERLINK("https://klasma.github.io/Logging_1493/klagomål/A 43341-2019 FSC-klagomål.docx", "A 43341-2019")</f>
        <v/>
      </c>
      <c r="W3109">
        <f>HYPERLINK("https://klasma.github.io/Logging_1493/klagomålsmail/A 43341-2019 FSC-klagomål mail.docx", "A 43341-2019")</f>
        <v/>
      </c>
      <c r="X3109">
        <f>HYPERLINK("https://klasma.github.io/Logging_1493/tillsyn/A 43341-2019 tillsynsbegäran.docx", "A 43341-2019")</f>
        <v/>
      </c>
      <c r="Y3109">
        <f>HYPERLINK("https://klasma.github.io/Logging_1493/tillsynsmail/A 43341-2019 tillsynsbegäran mail.docx", "A 43341-2019")</f>
        <v/>
      </c>
    </row>
    <row r="3110" ht="15" customHeight="1">
      <c r="A3110" t="inlineStr">
        <is>
          <t>A 43362-2019</t>
        </is>
      </c>
      <c r="B3110" s="1" t="n">
        <v>43706</v>
      </c>
      <c r="C3110" s="1" t="n">
        <v>45227</v>
      </c>
      <c r="D3110" t="inlineStr">
        <is>
          <t>VÄSTRA GÖTALANDS LÄN</t>
        </is>
      </c>
      <c r="E3110" t="inlineStr">
        <is>
          <t>HERRLJUNGA</t>
        </is>
      </c>
      <c r="G3110" t="n">
        <v>7.5</v>
      </c>
      <c r="H3110" t="n">
        <v>0</v>
      </c>
      <c r="I3110" t="n">
        <v>0</v>
      </c>
      <c r="J3110" t="n">
        <v>0</v>
      </c>
      <c r="K3110" t="n">
        <v>0</v>
      </c>
      <c r="L3110" t="n">
        <v>0</v>
      </c>
      <c r="M3110" t="n">
        <v>0</v>
      </c>
      <c r="N3110" t="n">
        <v>0</v>
      </c>
      <c r="O3110" t="n">
        <v>0</v>
      </c>
      <c r="P3110" t="n">
        <v>0</v>
      </c>
      <c r="Q3110" t="n">
        <v>0</v>
      </c>
      <c r="R3110" s="2" t="inlineStr"/>
    </row>
    <row r="3111" ht="15" customHeight="1">
      <c r="A3111" t="inlineStr">
        <is>
          <t>A 43381-2019</t>
        </is>
      </c>
      <c r="B3111" s="1" t="n">
        <v>43706</v>
      </c>
      <c r="C3111" s="1" t="n">
        <v>45227</v>
      </c>
      <c r="D3111" t="inlineStr">
        <is>
          <t>VÄSTRA GÖTALANDS LÄN</t>
        </is>
      </c>
      <c r="E3111" t="inlineStr">
        <is>
          <t>BORÅS</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43537-2019</t>
        </is>
      </c>
      <c r="B3112" s="1" t="n">
        <v>43706</v>
      </c>
      <c r="C3112" s="1" t="n">
        <v>45227</v>
      </c>
      <c r="D3112" t="inlineStr">
        <is>
          <t>VÄSTRA GÖTALANDS LÄN</t>
        </is>
      </c>
      <c r="E3112" t="inlineStr">
        <is>
          <t>GRÄSTORP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43633-2019</t>
        </is>
      </c>
      <c r="B3113" s="1" t="n">
        <v>43707</v>
      </c>
      <c r="C3113" s="1" t="n">
        <v>45227</v>
      </c>
      <c r="D3113" t="inlineStr">
        <is>
          <t>VÄSTRA GÖTALANDS LÄN</t>
        </is>
      </c>
      <c r="E3113" t="inlineStr">
        <is>
          <t>BENGTSFORS</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43814-2019</t>
        </is>
      </c>
      <c r="B3114" s="1" t="n">
        <v>43707</v>
      </c>
      <c r="C3114" s="1" t="n">
        <v>45227</v>
      </c>
      <c r="D3114" t="inlineStr">
        <is>
          <t>VÄSTRA GÖTALANDS LÄN</t>
        </is>
      </c>
      <c r="E3114" t="inlineStr">
        <is>
          <t>ULRICEHAMN</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43843-2019</t>
        </is>
      </c>
      <c r="B3115" s="1" t="n">
        <v>43707</v>
      </c>
      <c r="C3115" s="1" t="n">
        <v>45227</v>
      </c>
      <c r="D3115" t="inlineStr">
        <is>
          <t>VÄSTRA GÖTALANDS LÄN</t>
        </is>
      </c>
      <c r="E3115" t="inlineStr">
        <is>
          <t>FALKÖPING</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43925-2019</t>
        </is>
      </c>
      <c r="B3116" s="1" t="n">
        <v>43707</v>
      </c>
      <c r="C3116" s="1" t="n">
        <v>45227</v>
      </c>
      <c r="D3116" t="inlineStr">
        <is>
          <t>VÄSTRA GÖTALANDS LÄN</t>
        </is>
      </c>
      <c r="E3116" t="inlineStr">
        <is>
          <t>FÄRGELANDA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45003-2019</t>
        </is>
      </c>
      <c r="B3117" s="1" t="n">
        <v>43707</v>
      </c>
      <c r="C3117" s="1" t="n">
        <v>45227</v>
      </c>
      <c r="D3117" t="inlineStr">
        <is>
          <t>VÄSTRA GÖTALANDS LÄN</t>
        </is>
      </c>
      <c r="E3117" t="inlineStr">
        <is>
          <t>BENGTSFORS</t>
        </is>
      </c>
      <c r="F3117" t="inlineStr">
        <is>
          <t>Kyrkan</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43847-2019</t>
        </is>
      </c>
      <c r="B3118" s="1" t="n">
        <v>43707</v>
      </c>
      <c r="C3118" s="1" t="n">
        <v>45227</v>
      </c>
      <c r="D3118" t="inlineStr">
        <is>
          <t>VÄSTRA GÖTALANDS LÄN</t>
        </is>
      </c>
      <c r="E3118" t="inlineStr">
        <is>
          <t>DALS-ED</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44852-2019</t>
        </is>
      </c>
      <c r="B3119" s="1" t="n">
        <v>43707</v>
      </c>
      <c r="C3119" s="1" t="n">
        <v>45227</v>
      </c>
      <c r="D3119" t="inlineStr">
        <is>
          <t>VÄSTRA GÖTALANDS LÄN</t>
        </is>
      </c>
      <c r="E3119" t="inlineStr">
        <is>
          <t>VARA</t>
        </is>
      </c>
      <c r="G3119" t="n">
        <v>5.1</v>
      </c>
      <c r="H3119" t="n">
        <v>0</v>
      </c>
      <c r="I3119" t="n">
        <v>0</v>
      </c>
      <c r="J3119" t="n">
        <v>0</v>
      </c>
      <c r="K3119" t="n">
        <v>0</v>
      </c>
      <c r="L3119" t="n">
        <v>0</v>
      </c>
      <c r="M3119" t="n">
        <v>0</v>
      </c>
      <c r="N3119" t="n">
        <v>0</v>
      </c>
      <c r="O3119" t="n">
        <v>0</v>
      </c>
      <c r="P3119" t="n">
        <v>0</v>
      </c>
      <c r="Q3119" t="n">
        <v>0</v>
      </c>
      <c r="R3119" s="2" t="inlineStr"/>
    </row>
    <row r="3120" ht="15" customHeight="1">
      <c r="A3120" t="inlineStr">
        <is>
          <t>A 45008-2019</t>
        </is>
      </c>
      <c r="B3120" s="1" t="n">
        <v>43707</v>
      </c>
      <c r="C3120" s="1" t="n">
        <v>45227</v>
      </c>
      <c r="D3120" t="inlineStr">
        <is>
          <t>VÄSTRA GÖTALANDS LÄN</t>
        </is>
      </c>
      <c r="E3120" t="inlineStr">
        <is>
          <t>BENGTSFORS</t>
        </is>
      </c>
      <c r="F3120" t="inlineStr">
        <is>
          <t>Kyrkan</t>
        </is>
      </c>
      <c r="G3120" t="n">
        <v>3.7</v>
      </c>
      <c r="H3120" t="n">
        <v>0</v>
      </c>
      <c r="I3120" t="n">
        <v>0</v>
      </c>
      <c r="J3120" t="n">
        <v>0</v>
      </c>
      <c r="K3120" t="n">
        <v>0</v>
      </c>
      <c r="L3120" t="n">
        <v>0</v>
      </c>
      <c r="M3120" t="n">
        <v>0</v>
      </c>
      <c r="N3120" t="n">
        <v>0</v>
      </c>
      <c r="O3120" t="n">
        <v>0</v>
      </c>
      <c r="P3120" t="n">
        <v>0</v>
      </c>
      <c r="Q3120" t="n">
        <v>0</v>
      </c>
      <c r="R3120" s="2" t="inlineStr"/>
    </row>
    <row r="3121" ht="15" customHeight="1">
      <c r="A3121" t="inlineStr">
        <is>
          <t>A 43748-2019</t>
        </is>
      </c>
      <c r="B3121" s="1" t="n">
        <v>43707</v>
      </c>
      <c r="C3121" s="1" t="n">
        <v>45227</v>
      </c>
      <c r="D3121" t="inlineStr">
        <is>
          <t>VÄSTRA GÖTALANDS LÄN</t>
        </is>
      </c>
      <c r="E3121" t="inlineStr">
        <is>
          <t>SKARA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43962-2019</t>
        </is>
      </c>
      <c r="B3122" s="1" t="n">
        <v>43708</v>
      </c>
      <c r="C3122" s="1" t="n">
        <v>45227</v>
      </c>
      <c r="D3122" t="inlineStr">
        <is>
          <t>VÄSTRA GÖTALANDS LÄN</t>
        </is>
      </c>
      <c r="E3122" t="inlineStr">
        <is>
          <t>ULRICEHAMN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43991-2019</t>
        </is>
      </c>
      <c r="B3123" s="1" t="n">
        <v>43709</v>
      </c>
      <c r="C3123" s="1" t="n">
        <v>45227</v>
      </c>
      <c r="D3123" t="inlineStr">
        <is>
          <t>VÄSTRA GÖTALANDS LÄN</t>
        </is>
      </c>
      <c r="E3123" t="inlineStr">
        <is>
          <t>BENGTSFORS</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44008-2019</t>
        </is>
      </c>
      <c r="B3124" s="1" t="n">
        <v>43709</v>
      </c>
      <c r="C3124" s="1" t="n">
        <v>45227</v>
      </c>
      <c r="D3124" t="inlineStr">
        <is>
          <t>VÄSTRA GÖTALANDS LÄN</t>
        </is>
      </c>
      <c r="E3124" t="inlineStr">
        <is>
          <t>TIDAHOLM</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44129-2019</t>
        </is>
      </c>
      <c r="B3125" s="1" t="n">
        <v>43710</v>
      </c>
      <c r="C3125" s="1" t="n">
        <v>45227</v>
      </c>
      <c r="D3125" t="inlineStr">
        <is>
          <t>VÄSTRA GÖTALANDS LÄN</t>
        </is>
      </c>
      <c r="E3125" t="inlineStr">
        <is>
          <t>SKÖVDE</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45478-2019</t>
        </is>
      </c>
      <c r="B3126" s="1" t="n">
        <v>43710</v>
      </c>
      <c r="C3126" s="1" t="n">
        <v>45227</v>
      </c>
      <c r="D3126" t="inlineStr">
        <is>
          <t>VÄSTRA GÖTALANDS LÄN</t>
        </is>
      </c>
      <c r="E3126" t="inlineStr">
        <is>
          <t>TANUM</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45506-2019</t>
        </is>
      </c>
      <c r="B3127" s="1" t="n">
        <v>43710</v>
      </c>
      <c r="C3127" s="1" t="n">
        <v>45227</v>
      </c>
      <c r="D3127" t="inlineStr">
        <is>
          <t>VÄSTRA GÖTALANDS LÄN</t>
        </is>
      </c>
      <c r="E3127" t="inlineStr">
        <is>
          <t>TANUM</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44174-2019</t>
        </is>
      </c>
      <c r="B3128" s="1" t="n">
        <v>43710</v>
      </c>
      <c r="C3128" s="1" t="n">
        <v>45227</v>
      </c>
      <c r="D3128" t="inlineStr">
        <is>
          <t>VÄSTRA GÖTALANDS LÄN</t>
        </is>
      </c>
      <c r="E3128" t="inlineStr">
        <is>
          <t>BORÅS</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44229-2019</t>
        </is>
      </c>
      <c r="B3129" s="1" t="n">
        <v>43710</v>
      </c>
      <c r="C3129" s="1" t="n">
        <v>45227</v>
      </c>
      <c r="D3129" t="inlineStr">
        <is>
          <t>VÄSTRA GÖTALANDS LÄN</t>
        </is>
      </c>
      <c r="E3129" t="inlineStr">
        <is>
          <t>TRANEMO</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44242-2019</t>
        </is>
      </c>
      <c r="B3130" s="1" t="n">
        <v>43710</v>
      </c>
      <c r="C3130" s="1" t="n">
        <v>45227</v>
      </c>
      <c r="D3130" t="inlineStr">
        <is>
          <t>VÄSTRA GÖTALANDS LÄN</t>
        </is>
      </c>
      <c r="E3130" t="inlineStr">
        <is>
          <t>ULRICEHAMN</t>
        </is>
      </c>
      <c r="G3130" t="n">
        <v>8.4</v>
      </c>
      <c r="H3130" t="n">
        <v>0</v>
      </c>
      <c r="I3130" t="n">
        <v>0</v>
      </c>
      <c r="J3130" t="n">
        <v>0</v>
      </c>
      <c r="K3130" t="n">
        <v>0</v>
      </c>
      <c r="L3130" t="n">
        <v>0</v>
      </c>
      <c r="M3130" t="n">
        <v>0</v>
      </c>
      <c r="N3130" t="n">
        <v>0</v>
      </c>
      <c r="O3130" t="n">
        <v>0</v>
      </c>
      <c r="P3130" t="n">
        <v>0</v>
      </c>
      <c r="Q3130" t="n">
        <v>0</v>
      </c>
      <c r="R3130" s="2" t="inlineStr"/>
    </row>
    <row r="3131" ht="15" customHeight="1">
      <c r="A3131" t="inlineStr">
        <is>
          <t>A 45470-2019</t>
        </is>
      </c>
      <c r="B3131" s="1" t="n">
        <v>43710</v>
      </c>
      <c r="C3131" s="1" t="n">
        <v>45227</v>
      </c>
      <c r="D3131" t="inlineStr">
        <is>
          <t>VÄSTRA GÖTALANDS LÄN</t>
        </is>
      </c>
      <c r="E3131" t="inlineStr">
        <is>
          <t>TANUM</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45503-2019</t>
        </is>
      </c>
      <c r="B3132" s="1" t="n">
        <v>43710</v>
      </c>
      <c r="C3132" s="1" t="n">
        <v>45227</v>
      </c>
      <c r="D3132" t="inlineStr">
        <is>
          <t>VÄSTRA GÖTALANDS LÄN</t>
        </is>
      </c>
      <c r="E3132" t="inlineStr">
        <is>
          <t>TANUM</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44223-2019</t>
        </is>
      </c>
      <c r="B3133" s="1" t="n">
        <v>43710</v>
      </c>
      <c r="C3133" s="1" t="n">
        <v>45227</v>
      </c>
      <c r="D3133" t="inlineStr">
        <is>
          <t>VÄSTRA GÖTALANDS LÄN</t>
        </is>
      </c>
      <c r="E3133" t="inlineStr">
        <is>
          <t>BENGTSFORS</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44230-2019</t>
        </is>
      </c>
      <c r="B3134" s="1" t="n">
        <v>43710</v>
      </c>
      <c r="C3134" s="1" t="n">
        <v>45227</v>
      </c>
      <c r="D3134" t="inlineStr">
        <is>
          <t>VÄSTRA GÖTALANDS LÄN</t>
        </is>
      </c>
      <c r="E3134" t="inlineStr">
        <is>
          <t>TRANEMO</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44389-2019</t>
        </is>
      </c>
      <c r="B3135" s="1" t="n">
        <v>43711</v>
      </c>
      <c r="C3135" s="1" t="n">
        <v>45227</v>
      </c>
      <c r="D3135" t="inlineStr">
        <is>
          <t>VÄSTRA GÖTALANDS LÄN</t>
        </is>
      </c>
      <c r="E3135" t="inlineStr">
        <is>
          <t>ALINGSÅS</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44512-2019</t>
        </is>
      </c>
      <c r="B3136" s="1" t="n">
        <v>43711</v>
      </c>
      <c r="C3136" s="1" t="n">
        <v>45227</v>
      </c>
      <c r="D3136" t="inlineStr">
        <is>
          <t>VÄSTRA GÖTALANDS LÄN</t>
        </is>
      </c>
      <c r="E3136" t="inlineStr">
        <is>
          <t>MUNKEDAL</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45614-2019</t>
        </is>
      </c>
      <c r="B3137" s="1" t="n">
        <v>43711</v>
      </c>
      <c r="C3137" s="1" t="n">
        <v>45227</v>
      </c>
      <c r="D3137" t="inlineStr">
        <is>
          <t>VÄSTRA GÖTALANDS LÄN</t>
        </is>
      </c>
      <c r="E3137" t="inlineStr">
        <is>
          <t>BENGTSFORS</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44517-2019</t>
        </is>
      </c>
      <c r="B3138" s="1" t="n">
        <v>43711</v>
      </c>
      <c r="C3138" s="1" t="n">
        <v>45227</v>
      </c>
      <c r="D3138" t="inlineStr">
        <is>
          <t>VÄSTRA GÖTALANDS LÄN</t>
        </is>
      </c>
      <c r="E3138" t="inlineStr">
        <is>
          <t>MUNKEDAL</t>
        </is>
      </c>
      <c r="G3138" t="n">
        <v>4.2</v>
      </c>
      <c r="H3138" t="n">
        <v>0</v>
      </c>
      <c r="I3138" t="n">
        <v>0</v>
      </c>
      <c r="J3138" t="n">
        <v>0</v>
      </c>
      <c r="K3138" t="n">
        <v>0</v>
      </c>
      <c r="L3138" t="n">
        <v>0</v>
      </c>
      <c r="M3138" t="n">
        <v>0</v>
      </c>
      <c r="N3138" t="n">
        <v>0</v>
      </c>
      <c r="O3138" t="n">
        <v>0</v>
      </c>
      <c r="P3138" t="n">
        <v>0</v>
      </c>
      <c r="Q3138" t="n">
        <v>0</v>
      </c>
      <c r="R3138" s="2" t="inlineStr"/>
    </row>
    <row r="3139" ht="15" customHeight="1">
      <c r="A3139" t="inlineStr">
        <is>
          <t>A 44394-2019</t>
        </is>
      </c>
      <c r="B3139" s="1" t="n">
        <v>43711</v>
      </c>
      <c r="C3139" s="1" t="n">
        <v>45227</v>
      </c>
      <c r="D3139" t="inlineStr">
        <is>
          <t>VÄSTRA GÖTALANDS LÄN</t>
        </is>
      </c>
      <c r="E3139" t="inlineStr">
        <is>
          <t>FALKÖPING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44441-2019</t>
        </is>
      </c>
      <c r="B3140" s="1" t="n">
        <v>43711</v>
      </c>
      <c r="C3140" s="1" t="n">
        <v>45227</v>
      </c>
      <c r="D3140" t="inlineStr">
        <is>
          <t>VÄSTRA GÖTALANDS LÄN</t>
        </is>
      </c>
      <c r="E3140" t="inlineStr">
        <is>
          <t>LIDKÖPING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44582-2019</t>
        </is>
      </c>
      <c r="B3141" s="1" t="n">
        <v>43711</v>
      </c>
      <c r="C3141" s="1" t="n">
        <v>45227</v>
      </c>
      <c r="D3141" t="inlineStr">
        <is>
          <t>VÄSTRA GÖTALANDS LÄN</t>
        </is>
      </c>
      <c r="E3141" t="inlineStr">
        <is>
          <t>GRÄSTORP</t>
        </is>
      </c>
      <c r="G3141" t="n">
        <v>2.1</v>
      </c>
      <c r="H3141" t="n">
        <v>0</v>
      </c>
      <c r="I3141" t="n">
        <v>0</v>
      </c>
      <c r="J3141" t="n">
        <v>0</v>
      </c>
      <c r="K3141" t="n">
        <v>0</v>
      </c>
      <c r="L3141" t="n">
        <v>0</v>
      </c>
      <c r="M3141" t="n">
        <v>0</v>
      </c>
      <c r="N3141" t="n">
        <v>0</v>
      </c>
      <c r="O3141" t="n">
        <v>0</v>
      </c>
      <c r="P3141" t="n">
        <v>0</v>
      </c>
      <c r="Q3141" t="n">
        <v>0</v>
      </c>
      <c r="R3141" s="2" t="inlineStr"/>
    </row>
    <row r="3142" ht="15" customHeight="1">
      <c r="A3142" t="inlineStr">
        <is>
          <t>A 44788-2019</t>
        </is>
      </c>
      <c r="B3142" s="1" t="n">
        <v>43712</v>
      </c>
      <c r="C3142" s="1" t="n">
        <v>45227</v>
      </c>
      <c r="D3142" t="inlineStr">
        <is>
          <t>VÄSTRA GÖTALANDS LÄN</t>
        </is>
      </c>
      <c r="E3142" t="inlineStr">
        <is>
          <t>GÖTENE</t>
        </is>
      </c>
      <c r="F3142" t="inlineStr">
        <is>
          <t>Övriga Aktiebolag</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44618-2019</t>
        </is>
      </c>
      <c r="B3143" s="1" t="n">
        <v>43712</v>
      </c>
      <c r="C3143" s="1" t="n">
        <v>45227</v>
      </c>
      <c r="D3143" t="inlineStr">
        <is>
          <t>VÄSTRA GÖTALANDS LÄN</t>
        </is>
      </c>
      <c r="E3143" t="inlineStr">
        <is>
          <t>VARA</t>
        </is>
      </c>
      <c r="G3143" t="n">
        <v>11.9</v>
      </c>
      <c r="H3143" t="n">
        <v>0</v>
      </c>
      <c r="I3143" t="n">
        <v>0</v>
      </c>
      <c r="J3143" t="n">
        <v>0</v>
      </c>
      <c r="K3143" t="n">
        <v>0</v>
      </c>
      <c r="L3143" t="n">
        <v>0</v>
      </c>
      <c r="M3143" t="n">
        <v>0</v>
      </c>
      <c r="N3143" t="n">
        <v>0</v>
      </c>
      <c r="O3143" t="n">
        <v>0</v>
      </c>
      <c r="P3143" t="n">
        <v>0</v>
      </c>
      <c r="Q3143" t="n">
        <v>0</v>
      </c>
      <c r="R3143" s="2" t="inlineStr"/>
    </row>
    <row r="3144" ht="15" customHeight="1">
      <c r="A3144" t="inlineStr">
        <is>
          <t>A 44795-2019</t>
        </is>
      </c>
      <c r="B3144" s="1" t="n">
        <v>43712</v>
      </c>
      <c r="C3144" s="1" t="n">
        <v>45227</v>
      </c>
      <c r="D3144" t="inlineStr">
        <is>
          <t>VÄSTRA GÖTALANDS LÄN</t>
        </is>
      </c>
      <c r="E3144" t="inlineStr">
        <is>
          <t>SKARA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44748-2019</t>
        </is>
      </c>
      <c r="B3145" s="1" t="n">
        <v>43712</v>
      </c>
      <c r="C3145" s="1" t="n">
        <v>45227</v>
      </c>
      <c r="D3145" t="inlineStr">
        <is>
          <t>VÄSTRA GÖTALANDS LÄN</t>
        </is>
      </c>
      <c r="E3145" t="inlineStr">
        <is>
          <t>MARIESTAD</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44793-2019</t>
        </is>
      </c>
      <c r="B3146" s="1" t="n">
        <v>43712</v>
      </c>
      <c r="C3146" s="1" t="n">
        <v>45227</v>
      </c>
      <c r="D3146" t="inlineStr">
        <is>
          <t>VÄSTRA GÖTALANDS LÄN</t>
        </is>
      </c>
      <c r="E3146" t="inlineStr">
        <is>
          <t>SKARA</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45958-2019</t>
        </is>
      </c>
      <c r="B3147" s="1" t="n">
        <v>43712</v>
      </c>
      <c r="C3147" s="1" t="n">
        <v>45227</v>
      </c>
      <c r="D3147" t="inlineStr">
        <is>
          <t>VÄSTRA GÖTALANDS LÄN</t>
        </is>
      </c>
      <c r="E3147" t="inlineStr">
        <is>
          <t>BENGTSFORS</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44799-2019</t>
        </is>
      </c>
      <c r="B3148" s="1" t="n">
        <v>43712</v>
      </c>
      <c r="C3148" s="1" t="n">
        <v>45227</v>
      </c>
      <c r="D3148" t="inlineStr">
        <is>
          <t>VÄSTRA GÖTALANDS LÄN</t>
        </is>
      </c>
      <c r="E3148" t="inlineStr">
        <is>
          <t>SKARA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45875-2019</t>
        </is>
      </c>
      <c r="B3149" s="1" t="n">
        <v>43712</v>
      </c>
      <c r="C3149" s="1" t="n">
        <v>45227</v>
      </c>
      <c r="D3149" t="inlineStr">
        <is>
          <t>VÄSTRA GÖTALANDS LÄN</t>
        </is>
      </c>
      <c r="E3149" t="inlineStr">
        <is>
          <t>BENGTSFORS</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45177-2019</t>
        </is>
      </c>
      <c r="B3150" s="1" t="n">
        <v>43713</v>
      </c>
      <c r="C3150" s="1" t="n">
        <v>45227</v>
      </c>
      <c r="D3150" t="inlineStr">
        <is>
          <t>VÄSTRA GÖTALANDS LÄN</t>
        </is>
      </c>
      <c r="E3150" t="inlineStr">
        <is>
          <t>MARIESTAD</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46049-2019</t>
        </is>
      </c>
      <c r="B3151" s="1" t="n">
        <v>43713</v>
      </c>
      <c r="C3151" s="1" t="n">
        <v>45227</v>
      </c>
      <c r="D3151" t="inlineStr">
        <is>
          <t>VÄSTRA GÖTALANDS LÄN</t>
        </is>
      </c>
      <c r="E3151" t="inlineStr">
        <is>
          <t>BENGTSFORS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44915-2019</t>
        </is>
      </c>
      <c r="B3152" s="1" t="n">
        <v>43713</v>
      </c>
      <c r="C3152" s="1" t="n">
        <v>45227</v>
      </c>
      <c r="D3152" t="inlineStr">
        <is>
          <t>VÄSTRA GÖTALANDS LÄN</t>
        </is>
      </c>
      <c r="E3152" t="inlineStr">
        <is>
          <t>VARA</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45193-2019</t>
        </is>
      </c>
      <c r="B3153" s="1" t="n">
        <v>43713</v>
      </c>
      <c r="C3153" s="1" t="n">
        <v>45227</v>
      </c>
      <c r="D3153" t="inlineStr">
        <is>
          <t>VÄSTRA GÖTALANDS LÄN</t>
        </is>
      </c>
      <c r="E3153" t="inlineStr">
        <is>
          <t>ÅMÅL</t>
        </is>
      </c>
      <c r="G3153" t="n">
        <v>2.9</v>
      </c>
      <c r="H3153" t="n">
        <v>0</v>
      </c>
      <c r="I3153" t="n">
        <v>0</v>
      </c>
      <c r="J3153" t="n">
        <v>0</v>
      </c>
      <c r="K3153" t="n">
        <v>0</v>
      </c>
      <c r="L3153" t="n">
        <v>0</v>
      </c>
      <c r="M3153" t="n">
        <v>0</v>
      </c>
      <c r="N3153" t="n">
        <v>0</v>
      </c>
      <c r="O3153" t="n">
        <v>0</v>
      </c>
      <c r="P3153" t="n">
        <v>0</v>
      </c>
      <c r="Q3153" t="n">
        <v>0</v>
      </c>
      <c r="R3153" s="2" t="inlineStr"/>
    </row>
    <row r="3154" ht="15" customHeight="1">
      <c r="A3154" t="inlineStr">
        <is>
          <t>A 46400-2019</t>
        </is>
      </c>
      <c r="B3154" s="1" t="n">
        <v>43714</v>
      </c>
      <c r="C3154" s="1" t="n">
        <v>45227</v>
      </c>
      <c r="D3154" t="inlineStr">
        <is>
          <t>VÄSTRA GÖTALANDS LÄN</t>
        </is>
      </c>
      <c r="E3154" t="inlineStr">
        <is>
          <t>TRANEMO</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46402-2019</t>
        </is>
      </c>
      <c r="B3155" s="1" t="n">
        <v>43714</v>
      </c>
      <c r="C3155" s="1" t="n">
        <v>45227</v>
      </c>
      <c r="D3155" t="inlineStr">
        <is>
          <t>VÄSTRA GÖTALANDS LÄN</t>
        </is>
      </c>
      <c r="E3155" t="inlineStr">
        <is>
          <t>LYSEKIL</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45366-2019</t>
        </is>
      </c>
      <c r="B3156" s="1" t="n">
        <v>43714</v>
      </c>
      <c r="C3156" s="1" t="n">
        <v>45227</v>
      </c>
      <c r="D3156" t="inlineStr">
        <is>
          <t>VÄSTRA GÖTALANDS LÄN</t>
        </is>
      </c>
      <c r="E3156" t="inlineStr">
        <is>
          <t>KARLSBORG</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45410-2019</t>
        </is>
      </c>
      <c r="B3157" s="1" t="n">
        <v>43714</v>
      </c>
      <c r="C3157" s="1" t="n">
        <v>45227</v>
      </c>
      <c r="D3157" t="inlineStr">
        <is>
          <t>VÄSTRA GÖTALANDS LÄN</t>
        </is>
      </c>
      <c r="E3157" t="inlineStr">
        <is>
          <t>HERRLJUNGA</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45471-2019</t>
        </is>
      </c>
      <c r="B3158" s="1" t="n">
        <v>43714</v>
      </c>
      <c r="C3158" s="1" t="n">
        <v>45227</v>
      </c>
      <c r="D3158" t="inlineStr">
        <is>
          <t>VÄSTRA GÖTALANDS LÄN</t>
        </is>
      </c>
      <c r="E3158" t="inlineStr">
        <is>
          <t>TIDAHOLM</t>
        </is>
      </c>
      <c r="G3158" t="n">
        <v>5.9</v>
      </c>
      <c r="H3158" t="n">
        <v>0</v>
      </c>
      <c r="I3158" t="n">
        <v>0</v>
      </c>
      <c r="J3158" t="n">
        <v>0</v>
      </c>
      <c r="K3158" t="n">
        <v>0</v>
      </c>
      <c r="L3158" t="n">
        <v>0</v>
      </c>
      <c r="M3158" t="n">
        <v>0</v>
      </c>
      <c r="N3158" t="n">
        <v>0</v>
      </c>
      <c r="O3158" t="n">
        <v>0</v>
      </c>
      <c r="P3158" t="n">
        <v>0</v>
      </c>
      <c r="Q3158" t="n">
        <v>0</v>
      </c>
      <c r="R3158" s="2" t="inlineStr"/>
    </row>
    <row r="3159" ht="15" customHeight="1">
      <c r="A3159" t="inlineStr">
        <is>
          <t>A 46397-2019</t>
        </is>
      </c>
      <c r="B3159" s="1" t="n">
        <v>43714</v>
      </c>
      <c r="C3159" s="1" t="n">
        <v>45227</v>
      </c>
      <c r="D3159" t="inlineStr">
        <is>
          <t>VÄSTRA GÖTALANDS LÄN</t>
        </is>
      </c>
      <c r="E3159" t="inlineStr">
        <is>
          <t>TRANEMO</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46420-2019</t>
        </is>
      </c>
      <c r="B3160" s="1" t="n">
        <v>43716</v>
      </c>
      <c r="C3160" s="1" t="n">
        <v>45227</v>
      </c>
      <c r="D3160" t="inlineStr">
        <is>
          <t>VÄSTRA GÖTALANDS LÄN</t>
        </is>
      </c>
      <c r="E3160" t="inlineStr">
        <is>
          <t>TANUM</t>
        </is>
      </c>
      <c r="G3160" t="n">
        <v>2.3</v>
      </c>
      <c r="H3160" t="n">
        <v>0</v>
      </c>
      <c r="I3160" t="n">
        <v>0</v>
      </c>
      <c r="J3160" t="n">
        <v>0</v>
      </c>
      <c r="K3160" t="n">
        <v>0</v>
      </c>
      <c r="L3160" t="n">
        <v>0</v>
      </c>
      <c r="M3160" t="n">
        <v>0</v>
      </c>
      <c r="N3160" t="n">
        <v>0</v>
      </c>
      <c r="O3160" t="n">
        <v>0</v>
      </c>
      <c r="P3160" t="n">
        <v>0</v>
      </c>
      <c r="Q3160" t="n">
        <v>0</v>
      </c>
      <c r="R3160" s="2" t="inlineStr"/>
    </row>
    <row r="3161" ht="15" customHeight="1">
      <c r="A3161" t="inlineStr">
        <is>
          <t>A 45622-2019</t>
        </is>
      </c>
      <c r="B3161" s="1" t="n">
        <v>43717</v>
      </c>
      <c r="C3161" s="1" t="n">
        <v>45227</v>
      </c>
      <c r="D3161" t="inlineStr">
        <is>
          <t>VÄSTRA GÖTALANDS LÄN</t>
        </is>
      </c>
      <c r="E3161" t="inlineStr">
        <is>
          <t>BORÅS</t>
        </is>
      </c>
      <c r="F3161" t="inlineStr">
        <is>
          <t>Sveaskog</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45696-2019</t>
        </is>
      </c>
      <c r="B3162" s="1" t="n">
        <v>43717</v>
      </c>
      <c r="C3162" s="1" t="n">
        <v>45227</v>
      </c>
      <c r="D3162" t="inlineStr">
        <is>
          <t>VÄSTRA GÖTALANDS LÄN</t>
        </is>
      </c>
      <c r="E3162" t="inlineStr">
        <is>
          <t>SKARA</t>
        </is>
      </c>
      <c r="G3162" t="n">
        <v>6.9</v>
      </c>
      <c r="H3162" t="n">
        <v>0</v>
      </c>
      <c r="I3162" t="n">
        <v>0</v>
      </c>
      <c r="J3162" t="n">
        <v>0</v>
      </c>
      <c r="K3162" t="n">
        <v>0</v>
      </c>
      <c r="L3162" t="n">
        <v>0</v>
      </c>
      <c r="M3162" t="n">
        <v>0</v>
      </c>
      <c r="N3162" t="n">
        <v>0</v>
      </c>
      <c r="O3162" t="n">
        <v>0</v>
      </c>
      <c r="P3162" t="n">
        <v>0</v>
      </c>
      <c r="Q3162" t="n">
        <v>0</v>
      </c>
      <c r="R3162" s="2" t="inlineStr"/>
    </row>
    <row r="3163" ht="15" customHeight="1">
      <c r="A3163" t="inlineStr">
        <is>
          <t>A 45710-2019</t>
        </is>
      </c>
      <c r="B3163" s="1" t="n">
        <v>43717</v>
      </c>
      <c r="C3163" s="1" t="n">
        <v>45227</v>
      </c>
      <c r="D3163" t="inlineStr">
        <is>
          <t>VÄSTRA GÖTALANDS LÄN</t>
        </is>
      </c>
      <c r="E3163" t="inlineStr">
        <is>
          <t>MARIESTAD</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45705-2019</t>
        </is>
      </c>
      <c r="B3164" s="1" t="n">
        <v>43717</v>
      </c>
      <c r="C3164" s="1" t="n">
        <v>45227</v>
      </c>
      <c r="D3164" t="inlineStr">
        <is>
          <t>VÄSTRA GÖTALANDS LÄN</t>
        </is>
      </c>
      <c r="E3164" t="inlineStr">
        <is>
          <t>SKARA</t>
        </is>
      </c>
      <c r="G3164" t="n">
        <v>4</v>
      </c>
      <c r="H3164" t="n">
        <v>0</v>
      </c>
      <c r="I3164" t="n">
        <v>0</v>
      </c>
      <c r="J3164" t="n">
        <v>0</v>
      </c>
      <c r="K3164" t="n">
        <v>0</v>
      </c>
      <c r="L3164" t="n">
        <v>0</v>
      </c>
      <c r="M3164" t="n">
        <v>0</v>
      </c>
      <c r="N3164" t="n">
        <v>0</v>
      </c>
      <c r="O3164" t="n">
        <v>0</v>
      </c>
      <c r="P3164" t="n">
        <v>0</v>
      </c>
      <c r="Q3164" t="n">
        <v>0</v>
      </c>
      <c r="R3164" s="2" t="inlineStr"/>
    </row>
    <row r="3165" ht="15" customHeight="1">
      <c r="A3165" t="inlineStr">
        <is>
          <t>A 45712-2019</t>
        </is>
      </c>
      <c r="B3165" s="1" t="n">
        <v>43717</v>
      </c>
      <c r="C3165" s="1" t="n">
        <v>45227</v>
      </c>
      <c r="D3165" t="inlineStr">
        <is>
          <t>VÄSTRA GÖTALANDS LÄN</t>
        </is>
      </c>
      <c r="E3165" t="inlineStr">
        <is>
          <t>SKARA</t>
        </is>
      </c>
      <c r="G3165" t="n">
        <v>18.1</v>
      </c>
      <c r="H3165" t="n">
        <v>0</v>
      </c>
      <c r="I3165" t="n">
        <v>0</v>
      </c>
      <c r="J3165" t="n">
        <v>0</v>
      </c>
      <c r="K3165" t="n">
        <v>0</v>
      </c>
      <c r="L3165" t="n">
        <v>0</v>
      </c>
      <c r="M3165" t="n">
        <v>0</v>
      </c>
      <c r="N3165" t="n">
        <v>0</v>
      </c>
      <c r="O3165" t="n">
        <v>0</v>
      </c>
      <c r="P3165" t="n">
        <v>0</v>
      </c>
      <c r="Q3165" t="n">
        <v>0</v>
      </c>
      <c r="R3165" s="2" t="inlineStr"/>
    </row>
    <row r="3166" ht="15" customHeight="1">
      <c r="A3166" t="inlineStr">
        <is>
          <t>A 45742-2019</t>
        </is>
      </c>
      <c r="B3166" s="1" t="n">
        <v>43717</v>
      </c>
      <c r="C3166" s="1" t="n">
        <v>45227</v>
      </c>
      <c r="D3166" t="inlineStr">
        <is>
          <t>VÄSTRA GÖTALANDS LÄN</t>
        </is>
      </c>
      <c r="E3166" t="inlineStr">
        <is>
          <t>SKARA</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45751-2019</t>
        </is>
      </c>
      <c r="B3167" s="1" t="n">
        <v>43717</v>
      </c>
      <c r="C3167" s="1" t="n">
        <v>45227</v>
      </c>
      <c r="D3167" t="inlineStr">
        <is>
          <t>VÄSTRA GÖTALANDS LÄN</t>
        </is>
      </c>
      <c r="E3167" t="inlineStr">
        <is>
          <t>SKARA</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45842-2019</t>
        </is>
      </c>
      <c r="B3168" s="1" t="n">
        <v>43717</v>
      </c>
      <c r="C3168" s="1" t="n">
        <v>45227</v>
      </c>
      <c r="D3168" t="inlineStr">
        <is>
          <t>VÄSTRA GÖTALANDS LÄN</t>
        </is>
      </c>
      <c r="E3168" t="inlineStr">
        <is>
          <t>BENGTSFORS</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45619-2019</t>
        </is>
      </c>
      <c r="B3169" s="1" t="n">
        <v>43717</v>
      </c>
      <c r="C3169" s="1" t="n">
        <v>45227</v>
      </c>
      <c r="D3169" t="inlineStr">
        <is>
          <t>VÄSTRA GÖTALANDS LÄN</t>
        </is>
      </c>
      <c r="E3169" t="inlineStr">
        <is>
          <t>BORÅS</t>
        </is>
      </c>
      <c r="F3169" t="inlineStr">
        <is>
          <t>Sveaskog</t>
        </is>
      </c>
      <c r="G3169" t="n">
        <v>7</v>
      </c>
      <c r="H3169" t="n">
        <v>0</v>
      </c>
      <c r="I3169" t="n">
        <v>0</v>
      </c>
      <c r="J3169" t="n">
        <v>0</v>
      </c>
      <c r="K3169" t="n">
        <v>0</v>
      </c>
      <c r="L3169" t="n">
        <v>0</v>
      </c>
      <c r="M3169" t="n">
        <v>0</v>
      </c>
      <c r="N3169" t="n">
        <v>0</v>
      </c>
      <c r="O3169" t="n">
        <v>0</v>
      </c>
      <c r="P3169" t="n">
        <v>0</v>
      </c>
      <c r="Q3169" t="n">
        <v>0</v>
      </c>
      <c r="R3169" s="2" t="inlineStr"/>
    </row>
    <row r="3170" ht="15" customHeight="1">
      <c r="A3170" t="inlineStr">
        <is>
          <t>A 45670-2019</t>
        </is>
      </c>
      <c r="B3170" s="1" t="n">
        <v>43717</v>
      </c>
      <c r="C3170" s="1" t="n">
        <v>45227</v>
      </c>
      <c r="D3170" t="inlineStr">
        <is>
          <t>VÄSTRA GÖTALANDS LÄN</t>
        </is>
      </c>
      <c r="E3170" t="inlineStr">
        <is>
          <t>SKARA</t>
        </is>
      </c>
      <c r="F3170" t="inlineStr">
        <is>
          <t>Sveaskog</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45804-2019</t>
        </is>
      </c>
      <c r="B3171" s="1" t="n">
        <v>43717</v>
      </c>
      <c r="C3171" s="1" t="n">
        <v>45227</v>
      </c>
      <c r="D3171" t="inlineStr">
        <is>
          <t>VÄSTRA GÖTALANDS LÄN</t>
        </is>
      </c>
      <c r="E3171" t="inlineStr">
        <is>
          <t>SKARA</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45700-2019</t>
        </is>
      </c>
      <c r="B3172" s="1" t="n">
        <v>43717</v>
      </c>
      <c r="C3172" s="1" t="n">
        <v>45227</v>
      </c>
      <c r="D3172" t="inlineStr">
        <is>
          <t>VÄSTRA GÖTALANDS LÄN</t>
        </is>
      </c>
      <c r="E3172" t="inlineStr">
        <is>
          <t>SKARA</t>
        </is>
      </c>
      <c r="G3172" t="n">
        <v>16.8</v>
      </c>
      <c r="H3172" t="n">
        <v>0</v>
      </c>
      <c r="I3172" t="n">
        <v>0</v>
      </c>
      <c r="J3172" t="n">
        <v>0</v>
      </c>
      <c r="K3172" t="n">
        <v>0</v>
      </c>
      <c r="L3172" t="n">
        <v>0</v>
      </c>
      <c r="M3172" t="n">
        <v>0</v>
      </c>
      <c r="N3172" t="n">
        <v>0</v>
      </c>
      <c r="O3172" t="n">
        <v>0</v>
      </c>
      <c r="P3172" t="n">
        <v>0</v>
      </c>
      <c r="Q3172" t="n">
        <v>0</v>
      </c>
      <c r="R3172" s="2" t="inlineStr"/>
    </row>
    <row r="3173" ht="15" customHeight="1">
      <c r="A3173" t="inlineStr">
        <is>
          <t>A 45744-2019</t>
        </is>
      </c>
      <c r="B3173" s="1" t="n">
        <v>43717</v>
      </c>
      <c r="C3173" s="1" t="n">
        <v>45227</v>
      </c>
      <c r="D3173" t="inlineStr">
        <is>
          <t>VÄSTRA GÖTALANDS LÄN</t>
        </is>
      </c>
      <c r="E3173" t="inlineStr">
        <is>
          <t>SKARA</t>
        </is>
      </c>
      <c r="G3173" t="n">
        <v>10.6</v>
      </c>
      <c r="H3173" t="n">
        <v>0</v>
      </c>
      <c r="I3173" t="n">
        <v>0</v>
      </c>
      <c r="J3173" t="n">
        <v>0</v>
      </c>
      <c r="K3173" t="n">
        <v>0</v>
      </c>
      <c r="L3173" t="n">
        <v>0</v>
      </c>
      <c r="M3173" t="n">
        <v>0</v>
      </c>
      <c r="N3173" t="n">
        <v>0</v>
      </c>
      <c r="O3173" t="n">
        <v>0</v>
      </c>
      <c r="P3173" t="n">
        <v>0</v>
      </c>
      <c r="Q3173" t="n">
        <v>0</v>
      </c>
      <c r="R3173" s="2" t="inlineStr"/>
    </row>
    <row r="3174" ht="15" customHeight="1">
      <c r="A3174" t="inlineStr">
        <is>
          <t>A 45800-2019</t>
        </is>
      </c>
      <c r="B3174" s="1" t="n">
        <v>43717</v>
      </c>
      <c r="C3174" s="1" t="n">
        <v>45227</v>
      </c>
      <c r="D3174" t="inlineStr">
        <is>
          <t>VÄSTRA GÖTALANDS LÄN</t>
        </is>
      </c>
      <c r="E3174" t="inlineStr">
        <is>
          <t>SKARA</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45823-2019</t>
        </is>
      </c>
      <c r="B3175" s="1" t="n">
        <v>43717</v>
      </c>
      <c r="C3175" s="1" t="n">
        <v>45227</v>
      </c>
      <c r="D3175" t="inlineStr">
        <is>
          <t>VÄSTRA GÖTALANDS LÄN</t>
        </is>
      </c>
      <c r="E3175" t="inlineStr">
        <is>
          <t>UDDEVALLA</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46814-2019</t>
        </is>
      </c>
      <c r="B3176" s="1" t="n">
        <v>43718</v>
      </c>
      <c r="C3176" s="1" t="n">
        <v>45227</v>
      </c>
      <c r="D3176" t="inlineStr">
        <is>
          <t>VÄSTRA GÖTALANDS LÄN</t>
        </is>
      </c>
      <c r="E3176" t="inlineStr">
        <is>
          <t>HERRLJUNGA</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46051-2019</t>
        </is>
      </c>
      <c r="B3177" s="1" t="n">
        <v>43718</v>
      </c>
      <c r="C3177" s="1" t="n">
        <v>45227</v>
      </c>
      <c r="D3177" t="inlineStr">
        <is>
          <t>VÄSTRA GÖTALANDS LÄN</t>
        </is>
      </c>
      <c r="E3177" t="inlineStr">
        <is>
          <t>MÖLNDAL</t>
        </is>
      </c>
      <c r="F3177" t="inlineStr">
        <is>
          <t>Kyrkan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46821-2019</t>
        </is>
      </c>
      <c r="B3178" s="1" t="n">
        <v>43718</v>
      </c>
      <c r="C3178" s="1" t="n">
        <v>45227</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46180-2019</t>
        </is>
      </c>
      <c r="B3179" s="1" t="n">
        <v>43718</v>
      </c>
      <c r="C3179" s="1" t="n">
        <v>45227</v>
      </c>
      <c r="D3179" t="inlineStr">
        <is>
          <t>VÄSTRA GÖTALANDS LÄN</t>
        </is>
      </c>
      <c r="E3179" t="inlineStr">
        <is>
          <t>HERRLJUNGA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46753-2019</t>
        </is>
      </c>
      <c r="B3180" s="1" t="n">
        <v>43718</v>
      </c>
      <c r="C3180" s="1" t="n">
        <v>45227</v>
      </c>
      <c r="D3180" t="inlineStr">
        <is>
          <t>VÄSTRA GÖTALANDS LÄN</t>
        </is>
      </c>
      <c r="E3180" t="inlineStr">
        <is>
          <t>GULLSPÅNG</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46516-2019</t>
        </is>
      </c>
      <c r="B3181" s="1" t="n">
        <v>43719</v>
      </c>
      <c r="C3181" s="1" t="n">
        <v>45227</v>
      </c>
      <c r="D3181" t="inlineStr">
        <is>
          <t>VÄSTRA GÖTALANDS LÄN</t>
        </is>
      </c>
      <c r="E3181" t="inlineStr">
        <is>
          <t>HJO</t>
        </is>
      </c>
      <c r="G3181" t="n">
        <v>3.5</v>
      </c>
      <c r="H3181" t="n">
        <v>0</v>
      </c>
      <c r="I3181" t="n">
        <v>0</v>
      </c>
      <c r="J3181" t="n">
        <v>0</v>
      </c>
      <c r="K3181" t="n">
        <v>0</v>
      </c>
      <c r="L3181" t="n">
        <v>0</v>
      </c>
      <c r="M3181" t="n">
        <v>0</v>
      </c>
      <c r="N3181" t="n">
        <v>0</v>
      </c>
      <c r="O3181" t="n">
        <v>0</v>
      </c>
      <c r="P3181" t="n">
        <v>0</v>
      </c>
      <c r="Q3181" t="n">
        <v>0</v>
      </c>
      <c r="R3181" s="2" t="inlineStr"/>
    </row>
    <row r="3182" ht="15" customHeight="1">
      <c r="A3182" t="inlineStr">
        <is>
          <t>A 46585-2019</t>
        </is>
      </c>
      <c r="B3182" s="1" t="n">
        <v>43719</v>
      </c>
      <c r="C3182" s="1" t="n">
        <v>45227</v>
      </c>
      <c r="D3182" t="inlineStr">
        <is>
          <t>VÄSTRA GÖTALANDS LÄN</t>
        </is>
      </c>
      <c r="E3182" t="inlineStr">
        <is>
          <t>ÅMÅL</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46644-2019</t>
        </is>
      </c>
      <c r="B3183" s="1" t="n">
        <v>43719</v>
      </c>
      <c r="C3183" s="1" t="n">
        <v>45227</v>
      </c>
      <c r="D3183" t="inlineStr">
        <is>
          <t>VÄSTRA GÖTALANDS LÄN</t>
        </is>
      </c>
      <c r="E3183" t="inlineStr">
        <is>
          <t>TRANEMO</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46495-2019</t>
        </is>
      </c>
      <c r="B3184" s="1" t="n">
        <v>43719</v>
      </c>
      <c r="C3184" s="1" t="n">
        <v>45227</v>
      </c>
      <c r="D3184" t="inlineStr">
        <is>
          <t>VÄSTRA GÖTALANDS LÄN</t>
        </is>
      </c>
      <c r="E3184" t="inlineStr">
        <is>
          <t>HERRLJUNGA</t>
        </is>
      </c>
      <c r="G3184" t="n">
        <v>3.7</v>
      </c>
      <c r="H3184" t="n">
        <v>0</v>
      </c>
      <c r="I3184" t="n">
        <v>0</v>
      </c>
      <c r="J3184" t="n">
        <v>0</v>
      </c>
      <c r="K3184" t="n">
        <v>0</v>
      </c>
      <c r="L3184" t="n">
        <v>0</v>
      </c>
      <c r="M3184" t="n">
        <v>0</v>
      </c>
      <c r="N3184" t="n">
        <v>0</v>
      </c>
      <c r="O3184" t="n">
        <v>0</v>
      </c>
      <c r="P3184" t="n">
        <v>0</v>
      </c>
      <c r="Q3184" t="n">
        <v>0</v>
      </c>
      <c r="R3184" s="2" t="inlineStr"/>
    </row>
    <row r="3185" ht="15" customHeight="1">
      <c r="A3185" t="inlineStr">
        <is>
          <t>A 46569-2019</t>
        </is>
      </c>
      <c r="B3185" s="1" t="n">
        <v>43719</v>
      </c>
      <c r="C3185" s="1" t="n">
        <v>45227</v>
      </c>
      <c r="D3185" t="inlineStr">
        <is>
          <t>VÄSTRA GÖTALANDS LÄN</t>
        </is>
      </c>
      <c r="E3185" t="inlineStr">
        <is>
          <t>ÅMÅL</t>
        </is>
      </c>
      <c r="G3185" t="n">
        <v>3.5</v>
      </c>
      <c r="H3185" t="n">
        <v>0</v>
      </c>
      <c r="I3185" t="n">
        <v>0</v>
      </c>
      <c r="J3185" t="n">
        <v>0</v>
      </c>
      <c r="K3185" t="n">
        <v>0</v>
      </c>
      <c r="L3185" t="n">
        <v>0</v>
      </c>
      <c r="M3185" t="n">
        <v>0</v>
      </c>
      <c r="N3185" t="n">
        <v>0</v>
      </c>
      <c r="O3185" t="n">
        <v>0</v>
      </c>
      <c r="P3185" t="n">
        <v>0</v>
      </c>
      <c r="Q3185" t="n">
        <v>0</v>
      </c>
      <c r="R3185" s="2" t="inlineStr"/>
    </row>
    <row r="3186" ht="15" customHeight="1">
      <c r="A3186" t="inlineStr">
        <is>
          <t>A 46565-2019</t>
        </is>
      </c>
      <c r="B3186" s="1" t="n">
        <v>43719</v>
      </c>
      <c r="C3186" s="1" t="n">
        <v>45227</v>
      </c>
      <c r="D3186" t="inlineStr">
        <is>
          <t>VÄSTRA GÖTALANDS LÄN</t>
        </is>
      </c>
      <c r="E3186" t="inlineStr">
        <is>
          <t>HJO</t>
        </is>
      </c>
      <c r="G3186" t="n">
        <v>0.3</v>
      </c>
      <c r="H3186" t="n">
        <v>0</v>
      </c>
      <c r="I3186" t="n">
        <v>0</v>
      </c>
      <c r="J3186" t="n">
        <v>0</v>
      </c>
      <c r="K3186" t="n">
        <v>0</v>
      </c>
      <c r="L3186" t="n">
        <v>0</v>
      </c>
      <c r="M3186" t="n">
        <v>0</v>
      </c>
      <c r="N3186" t="n">
        <v>0</v>
      </c>
      <c r="O3186" t="n">
        <v>0</v>
      </c>
      <c r="P3186" t="n">
        <v>0</v>
      </c>
      <c r="Q3186" t="n">
        <v>0</v>
      </c>
      <c r="R3186" s="2" t="inlineStr"/>
    </row>
    <row r="3187" ht="15" customHeight="1">
      <c r="A3187" t="inlineStr">
        <is>
          <t>A 46581-2019</t>
        </is>
      </c>
      <c r="B3187" s="1" t="n">
        <v>43719</v>
      </c>
      <c r="C3187" s="1" t="n">
        <v>45227</v>
      </c>
      <c r="D3187" t="inlineStr">
        <is>
          <t>VÄSTRA GÖTALANDS LÄN</t>
        </is>
      </c>
      <c r="E3187" t="inlineStr">
        <is>
          <t>GULLSPÅNG</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46600-2019</t>
        </is>
      </c>
      <c r="B3188" s="1" t="n">
        <v>43719</v>
      </c>
      <c r="C3188" s="1" t="n">
        <v>45227</v>
      </c>
      <c r="D3188" t="inlineStr">
        <is>
          <t>VÄSTRA GÖTALANDS LÄN</t>
        </is>
      </c>
      <c r="E3188" t="inlineStr">
        <is>
          <t>MELLERUD</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46717-2019</t>
        </is>
      </c>
      <c r="B3189" s="1" t="n">
        <v>43719</v>
      </c>
      <c r="C3189" s="1" t="n">
        <v>45227</v>
      </c>
      <c r="D3189" t="inlineStr">
        <is>
          <t>VÄSTRA GÖTALANDS LÄN</t>
        </is>
      </c>
      <c r="E3189" t="inlineStr">
        <is>
          <t>VÅRGÅRDA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46969-2019</t>
        </is>
      </c>
      <c r="B3190" s="1" t="n">
        <v>43720</v>
      </c>
      <c r="C3190" s="1" t="n">
        <v>45227</v>
      </c>
      <c r="D3190" t="inlineStr">
        <is>
          <t>VÄSTRA GÖTALANDS LÄN</t>
        </is>
      </c>
      <c r="E3190" t="inlineStr">
        <is>
          <t>DALS-ED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47014-2019</t>
        </is>
      </c>
      <c r="B3191" s="1" t="n">
        <v>43720</v>
      </c>
      <c r="C3191" s="1" t="n">
        <v>45227</v>
      </c>
      <c r="D3191" t="inlineStr">
        <is>
          <t>VÄSTRA GÖTALANDS LÄN</t>
        </is>
      </c>
      <c r="E3191" t="inlineStr">
        <is>
          <t>TÖREBODA</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47055-2019</t>
        </is>
      </c>
      <c r="B3192" s="1" t="n">
        <v>43720</v>
      </c>
      <c r="C3192" s="1" t="n">
        <v>45227</v>
      </c>
      <c r="D3192" t="inlineStr">
        <is>
          <t>VÄSTRA GÖTALANDS LÄN</t>
        </is>
      </c>
      <c r="E3192" t="inlineStr">
        <is>
          <t>BOLLEBYGD</t>
        </is>
      </c>
      <c r="G3192" t="n">
        <v>4.1</v>
      </c>
      <c r="H3192" t="n">
        <v>0</v>
      </c>
      <c r="I3192" t="n">
        <v>0</v>
      </c>
      <c r="J3192" t="n">
        <v>0</v>
      </c>
      <c r="K3192" t="n">
        <v>0</v>
      </c>
      <c r="L3192" t="n">
        <v>0</v>
      </c>
      <c r="M3192" t="n">
        <v>0</v>
      </c>
      <c r="N3192" t="n">
        <v>0</v>
      </c>
      <c r="O3192" t="n">
        <v>0</v>
      </c>
      <c r="P3192" t="n">
        <v>0</v>
      </c>
      <c r="Q3192" t="n">
        <v>0</v>
      </c>
      <c r="R3192" s="2" t="inlineStr"/>
    </row>
    <row r="3193" ht="15" customHeight="1">
      <c r="A3193" t="inlineStr">
        <is>
          <t>A 47063-2019</t>
        </is>
      </c>
      <c r="B3193" s="1" t="n">
        <v>43720</v>
      </c>
      <c r="C3193" s="1" t="n">
        <v>45227</v>
      </c>
      <c r="D3193" t="inlineStr">
        <is>
          <t>VÄSTRA GÖTALANDS LÄN</t>
        </is>
      </c>
      <c r="E3193" t="inlineStr">
        <is>
          <t>MUNKEDAL</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47108-2019</t>
        </is>
      </c>
      <c r="B3194" s="1" t="n">
        <v>43720</v>
      </c>
      <c r="C3194" s="1" t="n">
        <v>45227</v>
      </c>
      <c r="D3194" t="inlineStr">
        <is>
          <t>VÄSTRA GÖTALANDS LÄN</t>
        </is>
      </c>
      <c r="E3194" t="inlineStr">
        <is>
          <t>TIDAHOLM</t>
        </is>
      </c>
      <c r="G3194" t="n">
        <v>9</v>
      </c>
      <c r="H3194" t="n">
        <v>0</v>
      </c>
      <c r="I3194" t="n">
        <v>0</v>
      </c>
      <c r="J3194" t="n">
        <v>0</v>
      </c>
      <c r="K3194" t="n">
        <v>0</v>
      </c>
      <c r="L3194" t="n">
        <v>0</v>
      </c>
      <c r="M3194" t="n">
        <v>0</v>
      </c>
      <c r="N3194" t="n">
        <v>0</v>
      </c>
      <c r="O3194" t="n">
        <v>0</v>
      </c>
      <c r="P3194" t="n">
        <v>0</v>
      </c>
      <c r="Q3194" t="n">
        <v>0</v>
      </c>
      <c r="R3194" s="2" t="inlineStr"/>
    </row>
    <row r="3195" ht="15" customHeight="1">
      <c r="A3195" t="inlineStr">
        <is>
          <t>A 46829-2019</t>
        </is>
      </c>
      <c r="B3195" s="1" t="n">
        <v>43720</v>
      </c>
      <c r="C3195" s="1" t="n">
        <v>45227</v>
      </c>
      <c r="D3195" t="inlineStr">
        <is>
          <t>VÄSTRA GÖTALANDS LÄN</t>
        </is>
      </c>
      <c r="E3195" t="inlineStr">
        <is>
          <t>DALS-ED</t>
        </is>
      </c>
      <c r="G3195" t="n">
        <v>2.4</v>
      </c>
      <c r="H3195" t="n">
        <v>0</v>
      </c>
      <c r="I3195" t="n">
        <v>0</v>
      </c>
      <c r="J3195" t="n">
        <v>0</v>
      </c>
      <c r="K3195" t="n">
        <v>0</v>
      </c>
      <c r="L3195" t="n">
        <v>0</v>
      </c>
      <c r="M3195" t="n">
        <v>0</v>
      </c>
      <c r="N3195" t="n">
        <v>0</v>
      </c>
      <c r="O3195" t="n">
        <v>0</v>
      </c>
      <c r="P3195" t="n">
        <v>0</v>
      </c>
      <c r="Q3195" t="n">
        <v>0</v>
      </c>
      <c r="R3195" s="2" t="inlineStr"/>
    </row>
    <row r="3196" ht="15" customHeight="1">
      <c r="A3196" t="inlineStr">
        <is>
          <t>A 46931-2019</t>
        </is>
      </c>
      <c r="B3196" s="1" t="n">
        <v>43720</v>
      </c>
      <c r="C3196" s="1" t="n">
        <v>45227</v>
      </c>
      <c r="D3196" t="inlineStr">
        <is>
          <t>VÄSTRA GÖTALANDS LÄN</t>
        </is>
      </c>
      <c r="E3196" t="inlineStr">
        <is>
          <t>TRANEMO</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47126-2019</t>
        </is>
      </c>
      <c r="B3197" s="1" t="n">
        <v>43721</v>
      </c>
      <c r="C3197" s="1" t="n">
        <v>45227</v>
      </c>
      <c r="D3197" t="inlineStr">
        <is>
          <t>VÄSTRA GÖTALANDS LÄN</t>
        </is>
      </c>
      <c r="E3197" t="inlineStr">
        <is>
          <t>GÖTENE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47206-2019</t>
        </is>
      </c>
      <c r="B3198" s="1" t="n">
        <v>43721</v>
      </c>
      <c r="C3198" s="1" t="n">
        <v>45227</v>
      </c>
      <c r="D3198" t="inlineStr">
        <is>
          <t>VÄSTRA GÖTALANDS LÄN</t>
        </is>
      </c>
      <c r="E3198" t="inlineStr">
        <is>
          <t>SKÖVDE</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47210-2019</t>
        </is>
      </c>
      <c r="B3199" s="1" t="n">
        <v>43721</v>
      </c>
      <c r="C3199" s="1" t="n">
        <v>45227</v>
      </c>
      <c r="D3199" t="inlineStr">
        <is>
          <t>VÄSTRA GÖTALANDS LÄN</t>
        </is>
      </c>
      <c r="E3199" t="inlineStr">
        <is>
          <t>GÖTENE</t>
        </is>
      </c>
      <c r="G3199" t="n">
        <v>3.4</v>
      </c>
      <c r="H3199" t="n">
        <v>0</v>
      </c>
      <c r="I3199" t="n">
        <v>0</v>
      </c>
      <c r="J3199" t="n">
        <v>0</v>
      </c>
      <c r="K3199" t="n">
        <v>0</v>
      </c>
      <c r="L3199" t="n">
        <v>0</v>
      </c>
      <c r="M3199" t="n">
        <v>0</v>
      </c>
      <c r="N3199" t="n">
        <v>0</v>
      </c>
      <c r="O3199" t="n">
        <v>0</v>
      </c>
      <c r="P3199" t="n">
        <v>0</v>
      </c>
      <c r="Q3199" t="n">
        <v>0</v>
      </c>
      <c r="R3199" s="2" t="inlineStr"/>
    </row>
    <row r="3200" ht="15" customHeight="1">
      <c r="A3200" t="inlineStr">
        <is>
          <t>A 47231-2019</t>
        </is>
      </c>
      <c r="B3200" s="1" t="n">
        <v>43721</v>
      </c>
      <c r="C3200" s="1" t="n">
        <v>45227</v>
      </c>
      <c r="D3200" t="inlineStr">
        <is>
          <t>VÄSTRA GÖTALANDS LÄN</t>
        </is>
      </c>
      <c r="E3200" t="inlineStr">
        <is>
          <t>MARIESTAD</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47309-2019</t>
        </is>
      </c>
      <c r="B3201" s="1" t="n">
        <v>43721</v>
      </c>
      <c r="C3201" s="1" t="n">
        <v>45227</v>
      </c>
      <c r="D3201" t="inlineStr">
        <is>
          <t>VÄSTRA GÖTALANDS LÄN</t>
        </is>
      </c>
      <c r="E3201" t="inlineStr">
        <is>
          <t>SVENLJUNGA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47350-2019</t>
        </is>
      </c>
      <c r="B3202" s="1" t="n">
        <v>43721</v>
      </c>
      <c r="C3202" s="1" t="n">
        <v>45227</v>
      </c>
      <c r="D3202" t="inlineStr">
        <is>
          <t>VÄSTRA GÖTALANDS LÄN</t>
        </is>
      </c>
      <c r="E3202" t="inlineStr">
        <is>
          <t>BORÅS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47364-2019</t>
        </is>
      </c>
      <c r="B3203" s="1" t="n">
        <v>43721</v>
      </c>
      <c r="C3203" s="1" t="n">
        <v>45227</v>
      </c>
      <c r="D3203" t="inlineStr">
        <is>
          <t>VÄSTRA GÖTALANDS LÄN</t>
        </is>
      </c>
      <c r="E3203" t="inlineStr">
        <is>
          <t>TROLLHÄTTAN</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47403-2019</t>
        </is>
      </c>
      <c r="B3204" s="1" t="n">
        <v>43722</v>
      </c>
      <c r="C3204" s="1" t="n">
        <v>45227</v>
      </c>
      <c r="D3204" t="inlineStr">
        <is>
          <t>VÄSTRA GÖTALANDS LÄN</t>
        </is>
      </c>
      <c r="E3204" t="inlineStr">
        <is>
          <t>TIDAHOLM</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47510-2019</t>
        </is>
      </c>
      <c r="B3205" s="1" t="n">
        <v>43723</v>
      </c>
      <c r="C3205" s="1" t="n">
        <v>45227</v>
      </c>
      <c r="D3205" t="inlineStr">
        <is>
          <t>VÄSTRA GÖTALANDS LÄN</t>
        </is>
      </c>
      <c r="E3205" t="inlineStr">
        <is>
          <t>SOTENÄS</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47417-2019</t>
        </is>
      </c>
      <c r="B3206" s="1" t="n">
        <v>43723</v>
      </c>
      <c r="C3206" s="1" t="n">
        <v>45227</v>
      </c>
      <c r="D3206" t="inlineStr">
        <is>
          <t>VÄSTRA GÖTALANDS LÄN</t>
        </is>
      </c>
      <c r="E3206" t="inlineStr">
        <is>
          <t>BORÅS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47529-2019</t>
        </is>
      </c>
      <c r="B3207" s="1" t="n">
        <v>43723</v>
      </c>
      <c r="C3207" s="1" t="n">
        <v>45227</v>
      </c>
      <c r="D3207" t="inlineStr">
        <is>
          <t>VÄSTRA GÖTALANDS LÄN</t>
        </is>
      </c>
      <c r="E3207" t="inlineStr">
        <is>
          <t>SOTENÄS</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47504-2019</t>
        </is>
      </c>
      <c r="B3208" s="1" t="n">
        <v>43723</v>
      </c>
      <c r="C3208" s="1" t="n">
        <v>45227</v>
      </c>
      <c r="D3208" t="inlineStr">
        <is>
          <t>VÄSTRA GÖTALANDS LÄN</t>
        </is>
      </c>
      <c r="E3208" t="inlineStr">
        <is>
          <t>SOTENÄS</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47451-2019</t>
        </is>
      </c>
      <c r="B3209" s="1" t="n">
        <v>43724</v>
      </c>
      <c r="C3209" s="1" t="n">
        <v>45227</v>
      </c>
      <c r="D3209" t="inlineStr">
        <is>
          <t>VÄSTRA GÖTALANDS LÄN</t>
        </is>
      </c>
      <c r="E3209" t="inlineStr">
        <is>
          <t>BORÅS</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47577-2019</t>
        </is>
      </c>
      <c r="B3210" s="1" t="n">
        <v>43724</v>
      </c>
      <c r="C3210" s="1" t="n">
        <v>45227</v>
      </c>
      <c r="D3210" t="inlineStr">
        <is>
          <t>VÄSTRA GÖTALANDS LÄN</t>
        </is>
      </c>
      <c r="E3210" t="inlineStr">
        <is>
          <t>KARLSBORG</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47621-2019</t>
        </is>
      </c>
      <c r="B3211" s="1" t="n">
        <v>43724</v>
      </c>
      <c r="C3211" s="1" t="n">
        <v>45227</v>
      </c>
      <c r="D3211" t="inlineStr">
        <is>
          <t>VÄSTRA GÖTALANDS LÄN</t>
        </is>
      </c>
      <c r="E3211" t="inlineStr">
        <is>
          <t>STRÖMSTAD</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47486-2019</t>
        </is>
      </c>
      <c r="B3212" s="1" t="n">
        <v>43724</v>
      </c>
      <c r="C3212" s="1" t="n">
        <v>45227</v>
      </c>
      <c r="D3212" t="inlineStr">
        <is>
          <t>VÄSTRA GÖTALANDS LÄN</t>
        </is>
      </c>
      <c r="E3212" t="inlineStr">
        <is>
          <t>HJO</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47618-2019</t>
        </is>
      </c>
      <c r="B3213" s="1" t="n">
        <v>43724</v>
      </c>
      <c r="C3213" s="1" t="n">
        <v>45227</v>
      </c>
      <c r="D3213" t="inlineStr">
        <is>
          <t>VÄSTRA GÖTALANDS LÄN</t>
        </is>
      </c>
      <c r="E3213" t="inlineStr">
        <is>
          <t>TIBRO</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47730-2019</t>
        </is>
      </c>
      <c r="B3214" s="1" t="n">
        <v>43724</v>
      </c>
      <c r="C3214" s="1" t="n">
        <v>45227</v>
      </c>
      <c r="D3214" t="inlineStr">
        <is>
          <t>VÄSTRA GÖTALANDS LÄN</t>
        </is>
      </c>
      <c r="E3214" t="inlineStr">
        <is>
          <t>FÄRGELANDA</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47613-2019</t>
        </is>
      </c>
      <c r="B3215" s="1" t="n">
        <v>43724</v>
      </c>
      <c r="C3215" s="1" t="n">
        <v>45227</v>
      </c>
      <c r="D3215" t="inlineStr">
        <is>
          <t>VÄSTRA GÖTALANDS LÄN</t>
        </is>
      </c>
      <c r="E3215" t="inlineStr">
        <is>
          <t>TIBRO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47640-2019</t>
        </is>
      </c>
      <c r="B3216" s="1" t="n">
        <v>43724</v>
      </c>
      <c r="C3216" s="1" t="n">
        <v>45227</v>
      </c>
      <c r="D3216" t="inlineStr">
        <is>
          <t>VÄSTRA GÖTALANDS LÄN</t>
        </is>
      </c>
      <c r="E3216" t="inlineStr">
        <is>
          <t>STRÖMSTAD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47527-2019</t>
        </is>
      </c>
      <c r="B3217" s="1" t="n">
        <v>43724</v>
      </c>
      <c r="C3217" s="1" t="n">
        <v>45227</v>
      </c>
      <c r="D3217" t="inlineStr">
        <is>
          <t>VÄSTRA GÖTALANDS LÄN</t>
        </is>
      </c>
      <c r="E3217" t="inlineStr">
        <is>
          <t>HJO</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47538-2019</t>
        </is>
      </c>
      <c r="B3218" s="1" t="n">
        <v>43724</v>
      </c>
      <c r="C3218" s="1" t="n">
        <v>45227</v>
      </c>
      <c r="D3218" t="inlineStr">
        <is>
          <t>VÄSTRA GÖTALANDS LÄN</t>
        </is>
      </c>
      <c r="E3218" t="inlineStr">
        <is>
          <t>MUNKEDAL</t>
        </is>
      </c>
      <c r="G3218" t="n">
        <v>5.6</v>
      </c>
      <c r="H3218" t="n">
        <v>0</v>
      </c>
      <c r="I3218" t="n">
        <v>0</v>
      </c>
      <c r="J3218" t="n">
        <v>0</v>
      </c>
      <c r="K3218" t="n">
        <v>0</v>
      </c>
      <c r="L3218" t="n">
        <v>0</v>
      </c>
      <c r="M3218" t="n">
        <v>0</v>
      </c>
      <c r="N3218" t="n">
        <v>0</v>
      </c>
      <c r="O3218" t="n">
        <v>0</v>
      </c>
      <c r="P3218" t="n">
        <v>0</v>
      </c>
      <c r="Q3218" t="n">
        <v>0</v>
      </c>
      <c r="R3218" s="2" t="inlineStr"/>
    </row>
    <row r="3219" ht="15" customHeight="1">
      <c r="A3219" t="inlineStr">
        <is>
          <t>A 47594-2019</t>
        </is>
      </c>
      <c r="B3219" s="1" t="n">
        <v>43724</v>
      </c>
      <c r="C3219" s="1" t="n">
        <v>45227</v>
      </c>
      <c r="D3219" t="inlineStr">
        <is>
          <t>VÄSTRA GÖTALANDS LÄN</t>
        </is>
      </c>
      <c r="E3219" t="inlineStr">
        <is>
          <t>HERRLJUNGA</t>
        </is>
      </c>
      <c r="F3219" t="inlineStr">
        <is>
          <t>Kyrkan</t>
        </is>
      </c>
      <c r="G3219" t="n">
        <v>4.1</v>
      </c>
      <c r="H3219" t="n">
        <v>0</v>
      </c>
      <c r="I3219" t="n">
        <v>0</v>
      </c>
      <c r="J3219" t="n">
        <v>0</v>
      </c>
      <c r="K3219" t="n">
        <v>0</v>
      </c>
      <c r="L3219" t="n">
        <v>0</v>
      </c>
      <c r="M3219" t="n">
        <v>0</v>
      </c>
      <c r="N3219" t="n">
        <v>0</v>
      </c>
      <c r="O3219" t="n">
        <v>0</v>
      </c>
      <c r="P3219" t="n">
        <v>0</v>
      </c>
      <c r="Q3219" t="n">
        <v>0</v>
      </c>
      <c r="R3219" s="2" t="inlineStr"/>
    </row>
    <row r="3220" ht="15" customHeight="1">
      <c r="A3220" t="inlineStr">
        <is>
          <t>A 47609-2019</t>
        </is>
      </c>
      <c r="B3220" s="1" t="n">
        <v>43724</v>
      </c>
      <c r="C3220" s="1" t="n">
        <v>45227</v>
      </c>
      <c r="D3220" t="inlineStr">
        <is>
          <t>VÄSTRA GÖTALANDS LÄN</t>
        </is>
      </c>
      <c r="E3220" t="inlineStr">
        <is>
          <t>STRÖMSTAD</t>
        </is>
      </c>
      <c r="G3220" t="n">
        <v>5</v>
      </c>
      <c r="H3220" t="n">
        <v>0</v>
      </c>
      <c r="I3220" t="n">
        <v>0</v>
      </c>
      <c r="J3220" t="n">
        <v>0</v>
      </c>
      <c r="K3220" t="n">
        <v>0</v>
      </c>
      <c r="L3220" t="n">
        <v>0</v>
      </c>
      <c r="M3220" t="n">
        <v>0</v>
      </c>
      <c r="N3220" t="n">
        <v>0</v>
      </c>
      <c r="O3220" t="n">
        <v>0</v>
      </c>
      <c r="P3220" t="n">
        <v>0</v>
      </c>
      <c r="Q3220" t="n">
        <v>0</v>
      </c>
      <c r="R3220" s="2" t="inlineStr"/>
    </row>
    <row r="3221" ht="15" customHeight="1">
      <c r="A3221" t="inlineStr">
        <is>
          <t>A 47617-2019</t>
        </is>
      </c>
      <c r="B3221" s="1" t="n">
        <v>43724</v>
      </c>
      <c r="C3221" s="1" t="n">
        <v>45227</v>
      </c>
      <c r="D3221" t="inlineStr">
        <is>
          <t>VÄSTRA GÖTALANDS LÄN</t>
        </is>
      </c>
      <c r="E3221" t="inlineStr">
        <is>
          <t>STRÖMSTAD</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47622-2019</t>
        </is>
      </c>
      <c r="B3222" s="1" t="n">
        <v>43724</v>
      </c>
      <c r="C3222" s="1" t="n">
        <v>45227</v>
      </c>
      <c r="D3222" t="inlineStr">
        <is>
          <t>VÄSTRA GÖTALANDS LÄN</t>
        </is>
      </c>
      <c r="E3222" t="inlineStr">
        <is>
          <t>STRÖMSTAD</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47728-2019</t>
        </is>
      </c>
      <c r="B3223" s="1" t="n">
        <v>43724</v>
      </c>
      <c r="C3223" s="1" t="n">
        <v>45227</v>
      </c>
      <c r="D3223" t="inlineStr">
        <is>
          <t>VÄSTRA GÖTALANDS LÄN</t>
        </is>
      </c>
      <c r="E3223" t="inlineStr">
        <is>
          <t>BENGTSFORS</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47981-2019</t>
        </is>
      </c>
      <c r="B3224" s="1" t="n">
        <v>43725</v>
      </c>
      <c r="C3224" s="1" t="n">
        <v>45227</v>
      </c>
      <c r="D3224" t="inlineStr">
        <is>
          <t>VÄSTRA GÖTALANDS LÄN</t>
        </is>
      </c>
      <c r="E3224" t="inlineStr">
        <is>
          <t>GULLSPÅNG</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47908-2019</t>
        </is>
      </c>
      <c r="B3225" s="1" t="n">
        <v>43725</v>
      </c>
      <c r="C3225" s="1" t="n">
        <v>45227</v>
      </c>
      <c r="D3225" t="inlineStr">
        <is>
          <t>VÄSTRA GÖTALANDS LÄN</t>
        </is>
      </c>
      <c r="E3225" t="inlineStr">
        <is>
          <t>MARK</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47986-2019</t>
        </is>
      </c>
      <c r="B3226" s="1" t="n">
        <v>43725</v>
      </c>
      <c r="C3226" s="1" t="n">
        <v>45227</v>
      </c>
      <c r="D3226" t="inlineStr">
        <is>
          <t>VÄSTRA GÖTALANDS LÄN</t>
        </is>
      </c>
      <c r="E3226" t="inlineStr">
        <is>
          <t>MARK</t>
        </is>
      </c>
      <c r="G3226" t="n">
        <v>4.1</v>
      </c>
      <c r="H3226" t="n">
        <v>0</v>
      </c>
      <c r="I3226" t="n">
        <v>0</v>
      </c>
      <c r="J3226" t="n">
        <v>0</v>
      </c>
      <c r="K3226" t="n">
        <v>0</v>
      </c>
      <c r="L3226" t="n">
        <v>0</v>
      </c>
      <c r="M3226" t="n">
        <v>0</v>
      </c>
      <c r="N3226" t="n">
        <v>0</v>
      </c>
      <c r="O3226" t="n">
        <v>0</v>
      </c>
      <c r="P3226" t="n">
        <v>0</v>
      </c>
      <c r="Q3226" t="n">
        <v>0</v>
      </c>
      <c r="R3226" s="2" t="inlineStr"/>
    </row>
    <row r="3227" ht="15" customHeight="1">
      <c r="A3227" t="inlineStr">
        <is>
          <t>A 47845-2019</t>
        </is>
      </c>
      <c r="B3227" s="1" t="n">
        <v>43725</v>
      </c>
      <c r="C3227" s="1" t="n">
        <v>45227</v>
      </c>
      <c r="D3227" t="inlineStr">
        <is>
          <t>VÄSTRA GÖTALANDS LÄN</t>
        </is>
      </c>
      <c r="E3227" t="inlineStr">
        <is>
          <t>BENGTSFORS</t>
        </is>
      </c>
      <c r="F3227" t="inlineStr">
        <is>
          <t>Kyrkan</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47931-2019</t>
        </is>
      </c>
      <c r="B3228" s="1" t="n">
        <v>43725</v>
      </c>
      <c r="C3228" s="1" t="n">
        <v>45227</v>
      </c>
      <c r="D3228" t="inlineStr">
        <is>
          <t>VÄSTRA GÖTALANDS LÄN</t>
        </is>
      </c>
      <c r="E3228" t="inlineStr">
        <is>
          <t>LYSEKIL</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48070-2019</t>
        </is>
      </c>
      <c r="B3229" s="1" t="n">
        <v>43725</v>
      </c>
      <c r="C3229" s="1" t="n">
        <v>45227</v>
      </c>
      <c r="D3229" t="inlineStr">
        <is>
          <t>VÄSTRA GÖTALANDS LÄN</t>
        </is>
      </c>
      <c r="E3229" t="inlineStr">
        <is>
          <t>DALS-ED</t>
        </is>
      </c>
      <c r="G3229" t="n">
        <v>12.5</v>
      </c>
      <c r="H3229" t="n">
        <v>0</v>
      </c>
      <c r="I3229" t="n">
        <v>0</v>
      </c>
      <c r="J3229" t="n">
        <v>0</v>
      </c>
      <c r="K3229" t="n">
        <v>0</v>
      </c>
      <c r="L3229" t="n">
        <v>0</v>
      </c>
      <c r="M3229" t="n">
        <v>0</v>
      </c>
      <c r="N3229" t="n">
        <v>0</v>
      </c>
      <c r="O3229" t="n">
        <v>0</v>
      </c>
      <c r="P3229" t="n">
        <v>0</v>
      </c>
      <c r="Q3229" t="n">
        <v>0</v>
      </c>
      <c r="R3229" s="2" t="inlineStr"/>
    </row>
    <row r="3230" ht="15" customHeight="1">
      <c r="A3230" t="inlineStr">
        <is>
          <t>A 48140-2019</t>
        </is>
      </c>
      <c r="B3230" s="1" t="n">
        <v>43726</v>
      </c>
      <c r="C3230" s="1" t="n">
        <v>45227</v>
      </c>
      <c r="D3230" t="inlineStr">
        <is>
          <t>VÄSTRA GÖTALANDS LÄN</t>
        </is>
      </c>
      <c r="E3230" t="inlineStr">
        <is>
          <t>ÅMÅL</t>
        </is>
      </c>
      <c r="G3230" t="n">
        <v>7.4</v>
      </c>
      <c r="H3230" t="n">
        <v>0</v>
      </c>
      <c r="I3230" t="n">
        <v>0</v>
      </c>
      <c r="J3230" t="n">
        <v>0</v>
      </c>
      <c r="K3230" t="n">
        <v>0</v>
      </c>
      <c r="L3230" t="n">
        <v>0</v>
      </c>
      <c r="M3230" t="n">
        <v>0</v>
      </c>
      <c r="N3230" t="n">
        <v>0</v>
      </c>
      <c r="O3230" t="n">
        <v>0</v>
      </c>
      <c r="P3230" t="n">
        <v>0</v>
      </c>
      <c r="Q3230" t="n">
        <v>0</v>
      </c>
      <c r="R3230" s="2" t="inlineStr"/>
    </row>
    <row r="3231" ht="15" customHeight="1">
      <c r="A3231" t="inlineStr">
        <is>
          <t>A 48512-2019</t>
        </is>
      </c>
      <c r="B3231" s="1" t="n">
        <v>43726</v>
      </c>
      <c r="C3231" s="1" t="n">
        <v>45227</v>
      </c>
      <c r="D3231" t="inlineStr">
        <is>
          <t>VÄSTRA GÖTALANDS LÄN</t>
        </is>
      </c>
      <c r="E3231" t="inlineStr">
        <is>
          <t>TROLLHÄTTAN</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48341-2019</t>
        </is>
      </c>
      <c r="B3232" s="1" t="n">
        <v>43726</v>
      </c>
      <c r="C3232" s="1" t="n">
        <v>45227</v>
      </c>
      <c r="D3232" t="inlineStr">
        <is>
          <t>VÄSTRA GÖTALANDS LÄN</t>
        </is>
      </c>
      <c r="E3232" t="inlineStr">
        <is>
          <t>UDDEVALLA</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48319-2019</t>
        </is>
      </c>
      <c r="B3233" s="1" t="n">
        <v>43726</v>
      </c>
      <c r="C3233" s="1" t="n">
        <v>45227</v>
      </c>
      <c r="D3233" t="inlineStr">
        <is>
          <t>VÄSTRA GÖTALANDS LÄN</t>
        </is>
      </c>
      <c r="E3233" t="inlineStr">
        <is>
          <t>ALINGSÅS</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48425-2019</t>
        </is>
      </c>
      <c r="B3234" s="1" t="n">
        <v>43726</v>
      </c>
      <c r="C3234" s="1" t="n">
        <v>45227</v>
      </c>
      <c r="D3234" t="inlineStr">
        <is>
          <t>VÄSTRA GÖTALANDS LÄN</t>
        </is>
      </c>
      <c r="E3234" t="inlineStr">
        <is>
          <t>GULLSPÅNG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48383-2019</t>
        </is>
      </c>
      <c r="B3235" s="1" t="n">
        <v>43726</v>
      </c>
      <c r="C3235" s="1" t="n">
        <v>45227</v>
      </c>
      <c r="D3235" t="inlineStr">
        <is>
          <t>VÄSTRA GÖTALANDS LÄN</t>
        </is>
      </c>
      <c r="E3235" t="inlineStr">
        <is>
          <t>ULRICEHAMN</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48419-2019</t>
        </is>
      </c>
      <c r="B3236" s="1" t="n">
        <v>43726</v>
      </c>
      <c r="C3236" s="1" t="n">
        <v>45227</v>
      </c>
      <c r="D3236" t="inlineStr">
        <is>
          <t>VÄSTRA GÖTALANDS LÄN</t>
        </is>
      </c>
      <c r="E3236" t="inlineStr">
        <is>
          <t>GULLSPÅNG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48405-2019</t>
        </is>
      </c>
      <c r="B3237" s="1" t="n">
        <v>43727</v>
      </c>
      <c r="C3237" s="1" t="n">
        <v>45227</v>
      </c>
      <c r="D3237" t="inlineStr">
        <is>
          <t>VÄSTRA GÖTALANDS LÄN</t>
        </is>
      </c>
      <c r="E3237" t="inlineStr">
        <is>
          <t>BORÅS</t>
        </is>
      </c>
      <c r="F3237" t="inlineStr">
        <is>
          <t>Sveaskog</t>
        </is>
      </c>
      <c r="G3237" t="n">
        <v>10.6</v>
      </c>
      <c r="H3237" t="n">
        <v>0</v>
      </c>
      <c r="I3237" t="n">
        <v>0</v>
      </c>
      <c r="J3237" t="n">
        <v>0</v>
      </c>
      <c r="K3237" t="n">
        <v>0</v>
      </c>
      <c r="L3237" t="n">
        <v>0</v>
      </c>
      <c r="M3237" t="n">
        <v>0</v>
      </c>
      <c r="N3237" t="n">
        <v>0</v>
      </c>
      <c r="O3237" t="n">
        <v>0</v>
      </c>
      <c r="P3237" t="n">
        <v>0</v>
      </c>
      <c r="Q3237" t="n">
        <v>0</v>
      </c>
      <c r="R3237" s="2" t="inlineStr"/>
    </row>
    <row r="3238" ht="15" customHeight="1">
      <c r="A3238" t="inlineStr">
        <is>
          <t>A 48416-2019</t>
        </is>
      </c>
      <c r="B3238" s="1" t="n">
        <v>43727</v>
      </c>
      <c r="C3238" s="1" t="n">
        <v>45227</v>
      </c>
      <c r="D3238" t="inlineStr">
        <is>
          <t>VÄSTRA GÖTALANDS LÄN</t>
        </is>
      </c>
      <c r="E3238" t="inlineStr">
        <is>
          <t>BORÅS</t>
        </is>
      </c>
      <c r="F3238" t="inlineStr">
        <is>
          <t>Sveaskog</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48735-2019</t>
        </is>
      </c>
      <c r="B3239" s="1" t="n">
        <v>43727</v>
      </c>
      <c r="C3239" s="1" t="n">
        <v>45227</v>
      </c>
      <c r="D3239" t="inlineStr">
        <is>
          <t>VÄSTRA GÖTALANDS LÄN</t>
        </is>
      </c>
      <c r="E3239" t="inlineStr">
        <is>
          <t>HERRLJUNGA</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49158-2019</t>
        </is>
      </c>
      <c r="B3240" s="1" t="n">
        <v>43727</v>
      </c>
      <c r="C3240" s="1" t="n">
        <v>45227</v>
      </c>
      <c r="D3240" t="inlineStr">
        <is>
          <t>VÄSTRA GÖTALANDS LÄN</t>
        </is>
      </c>
      <c r="E3240" t="inlineStr">
        <is>
          <t>GULLSPÅNG</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48486-2019</t>
        </is>
      </c>
      <c r="B3241" s="1" t="n">
        <v>43727</v>
      </c>
      <c r="C3241" s="1" t="n">
        <v>45227</v>
      </c>
      <c r="D3241" t="inlineStr">
        <is>
          <t>VÄSTRA GÖTALANDS LÄN</t>
        </is>
      </c>
      <c r="E3241" t="inlineStr">
        <is>
          <t>TRANEMO</t>
        </is>
      </c>
      <c r="F3241" t="inlineStr">
        <is>
          <t>Kyrkan</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48556-2019</t>
        </is>
      </c>
      <c r="B3242" s="1" t="n">
        <v>43727</v>
      </c>
      <c r="C3242" s="1" t="n">
        <v>45227</v>
      </c>
      <c r="D3242" t="inlineStr">
        <is>
          <t>VÄSTRA GÖTALANDS LÄN</t>
        </is>
      </c>
      <c r="E3242" t="inlineStr">
        <is>
          <t>GRÄSTORP</t>
        </is>
      </c>
      <c r="G3242" t="n">
        <v>1.5</v>
      </c>
      <c r="H3242" t="n">
        <v>0</v>
      </c>
      <c r="I3242" t="n">
        <v>0</v>
      </c>
      <c r="J3242" t="n">
        <v>0</v>
      </c>
      <c r="K3242" t="n">
        <v>0</v>
      </c>
      <c r="L3242" t="n">
        <v>0</v>
      </c>
      <c r="M3242" t="n">
        <v>0</v>
      </c>
      <c r="N3242" t="n">
        <v>0</v>
      </c>
      <c r="O3242" t="n">
        <v>0</v>
      </c>
      <c r="P3242" t="n">
        <v>0</v>
      </c>
      <c r="Q3242" t="n">
        <v>0</v>
      </c>
      <c r="R3242" s="2" t="inlineStr"/>
    </row>
    <row r="3243" ht="15" customHeight="1">
      <c r="A3243" t="inlineStr">
        <is>
          <t>A 49176-2019</t>
        </is>
      </c>
      <c r="B3243" s="1" t="n">
        <v>43727</v>
      </c>
      <c r="C3243" s="1" t="n">
        <v>45227</v>
      </c>
      <c r="D3243" t="inlineStr">
        <is>
          <t>VÄSTRA GÖTALANDS LÄN</t>
        </is>
      </c>
      <c r="E3243" t="inlineStr">
        <is>
          <t>MARIESTAD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48418-2019</t>
        </is>
      </c>
      <c r="B3244" s="1" t="n">
        <v>43727</v>
      </c>
      <c r="C3244" s="1" t="n">
        <v>45227</v>
      </c>
      <c r="D3244" t="inlineStr">
        <is>
          <t>VÄSTRA GÖTALANDS LÄN</t>
        </is>
      </c>
      <c r="E3244" t="inlineStr">
        <is>
          <t>BORÅS</t>
        </is>
      </c>
      <c r="F3244" t="inlineStr">
        <is>
          <t>Sveaskog</t>
        </is>
      </c>
      <c r="G3244" t="n">
        <v>2.9</v>
      </c>
      <c r="H3244" t="n">
        <v>0</v>
      </c>
      <c r="I3244" t="n">
        <v>0</v>
      </c>
      <c r="J3244" t="n">
        <v>0</v>
      </c>
      <c r="K3244" t="n">
        <v>0</v>
      </c>
      <c r="L3244" t="n">
        <v>0</v>
      </c>
      <c r="M3244" t="n">
        <v>0</v>
      </c>
      <c r="N3244" t="n">
        <v>0</v>
      </c>
      <c r="O3244" t="n">
        <v>0</v>
      </c>
      <c r="P3244" t="n">
        <v>0</v>
      </c>
      <c r="Q3244" t="n">
        <v>0</v>
      </c>
      <c r="R3244" s="2" t="inlineStr"/>
    </row>
    <row r="3245" ht="15" customHeight="1">
      <c r="A3245" t="inlineStr">
        <is>
          <t>A 48579-2019</t>
        </is>
      </c>
      <c r="B3245" s="1" t="n">
        <v>43727</v>
      </c>
      <c r="C3245" s="1" t="n">
        <v>45227</v>
      </c>
      <c r="D3245" t="inlineStr">
        <is>
          <t>VÄSTRA GÖTALANDS LÄN</t>
        </is>
      </c>
      <c r="E3245" t="inlineStr">
        <is>
          <t>LIDKÖPING</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48413-2019</t>
        </is>
      </c>
      <c r="B3246" s="1" t="n">
        <v>43727</v>
      </c>
      <c r="C3246" s="1" t="n">
        <v>45227</v>
      </c>
      <c r="D3246" t="inlineStr">
        <is>
          <t>VÄSTRA GÖTALANDS LÄN</t>
        </is>
      </c>
      <c r="E3246" t="inlineStr">
        <is>
          <t>BORÅS</t>
        </is>
      </c>
      <c r="F3246" t="inlineStr">
        <is>
          <t>Sveaskog</t>
        </is>
      </c>
      <c r="G3246" t="n">
        <v>10.6</v>
      </c>
      <c r="H3246" t="n">
        <v>0</v>
      </c>
      <c r="I3246" t="n">
        <v>0</v>
      </c>
      <c r="J3246" t="n">
        <v>0</v>
      </c>
      <c r="K3246" t="n">
        <v>0</v>
      </c>
      <c r="L3246" t="n">
        <v>0</v>
      </c>
      <c r="M3246" t="n">
        <v>0</v>
      </c>
      <c r="N3246" t="n">
        <v>0</v>
      </c>
      <c r="O3246" t="n">
        <v>0</v>
      </c>
      <c r="P3246" t="n">
        <v>0</v>
      </c>
      <c r="Q3246" t="n">
        <v>0</v>
      </c>
      <c r="R3246" s="2" t="inlineStr"/>
    </row>
    <row r="3247" ht="15" customHeight="1">
      <c r="A3247" t="inlineStr">
        <is>
          <t>A 48774-2019</t>
        </is>
      </c>
      <c r="B3247" s="1" t="n">
        <v>43727</v>
      </c>
      <c r="C3247" s="1" t="n">
        <v>45227</v>
      </c>
      <c r="D3247" t="inlineStr">
        <is>
          <t>VÄSTRA GÖTALANDS LÄN</t>
        </is>
      </c>
      <c r="E3247" t="inlineStr">
        <is>
          <t>ULRICEHAMN</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49209-2019</t>
        </is>
      </c>
      <c r="B3248" s="1" t="n">
        <v>43727</v>
      </c>
      <c r="C3248" s="1" t="n">
        <v>45227</v>
      </c>
      <c r="D3248" t="inlineStr">
        <is>
          <t>VÄSTRA GÖTALANDS LÄN</t>
        </is>
      </c>
      <c r="E3248" t="inlineStr">
        <is>
          <t>GULLSPÅNG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48674-2019</t>
        </is>
      </c>
      <c r="B3249" s="1" t="n">
        <v>43728</v>
      </c>
      <c r="C3249" s="1" t="n">
        <v>45227</v>
      </c>
      <c r="D3249" t="inlineStr">
        <is>
          <t>VÄSTRA GÖTALANDS LÄN</t>
        </is>
      </c>
      <c r="E3249" t="inlineStr">
        <is>
          <t>SVENLJUNGA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48697-2019</t>
        </is>
      </c>
      <c r="B3250" s="1" t="n">
        <v>43728</v>
      </c>
      <c r="C3250" s="1" t="n">
        <v>45227</v>
      </c>
      <c r="D3250" t="inlineStr">
        <is>
          <t>VÄSTRA GÖTALANDS LÄN</t>
        </is>
      </c>
      <c r="E3250" t="inlineStr">
        <is>
          <t>TIBRO</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48660-2019</t>
        </is>
      </c>
      <c r="B3251" s="1" t="n">
        <v>43728</v>
      </c>
      <c r="C3251" s="1" t="n">
        <v>45227</v>
      </c>
      <c r="D3251" t="inlineStr">
        <is>
          <t>VÄSTRA GÖTALANDS LÄN</t>
        </is>
      </c>
      <c r="E3251" t="inlineStr">
        <is>
          <t>SVENLJUNGA</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48870-2019</t>
        </is>
      </c>
      <c r="B3252" s="1" t="n">
        <v>43728</v>
      </c>
      <c r="C3252" s="1" t="n">
        <v>45227</v>
      </c>
      <c r="D3252" t="inlineStr">
        <is>
          <t>VÄSTRA GÖTALANDS LÄN</t>
        </is>
      </c>
      <c r="E3252" t="inlineStr">
        <is>
          <t>MARIESTAD</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48655-2019</t>
        </is>
      </c>
      <c r="B3253" s="1" t="n">
        <v>43728</v>
      </c>
      <c r="C3253" s="1" t="n">
        <v>45227</v>
      </c>
      <c r="D3253" t="inlineStr">
        <is>
          <t>VÄSTRA GÖTALANDS LÄN</t>
        </is>
      </c>
      <c r="E3253" t="inlineStr">
        <is>
          <t>STENUNGSUND</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48821-2019</t>
        </is>
      </c>
      <c r="B3254" s="1" t="n">
        <v>43728</v>
      </c>
      <c r="C3254" s="1" t="n">
        <v>45227</v>
      </c>
      <c r="D3254" t="inlineStr">
        <is>
          <t>VÄSTRA GÖTALANDS LÄN</t>
        </is>
      </c>
      <c r="E3254" t="inlineStr">
        <is>
          <t>GÖTENE</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49003-2019</t>
        </is>
      </c>
      <c r="B3255" s="1" t="n">
        <v>43730</v>
      </c>
      <c r="C3255" s="1" t="n">
        <v>45227</v>
      </c>
      <c r="D3255" t="inlineStr">
        <is>
          <t>VÄSTRA GÖTALANDS LÄN</t>
        </is>
      </c>
      <c r="E3255" t="inlineStr">
        <is>
          <t>ÅMÅL</t>
        </is>
      </c>
      <c r="G3255" t="n">
        <v>3.9</v>
      </c>
      <c r="H3255" t="n">
        <v>0</v>
      </c>
      <c r="I3255" t="n">
        <v>0</v>
      </c>
      <c r="J3255" t="n">
        <v>0</v>
      </c>
      <c r="K3255" t="n">
        <v>0</v>
      </c>
      <c r="L3255" t="n">
        <v>0</v>
      </c>
      <c r="M3255" t="n">
        <v>0</v>
      </c>
      <c r="N3255" t="n">
        <v>0</v>
      </c>
      <c r="O3255" t="n">
        <v>0</v>
      </c>
      <c r="P3255" t="n">
        <v>0</v>
      </c>
      <c r="Q3255" t="n">
        <v>0</v>
      </c>
      <c r="R3255" s="2" t="inlineStr"/>
    </row>
    <row r="3256" ht="15" customHeight="1">
      <c r="A3256" t="inlineStr">
        <is>
          <t>A 50468-2019</t>
        </is>
      </c>
      <c r="B3256" s="1" t="n">
        <v>43731</v>
      </c>
      <c r="C3256" s="1" t="n">
        <v>45227</v>
      </c>
      <c r="D3256" t="inlineStr">
        <is>
          <t>VÄSTRA GÖTALANDS LÄN</t>
        </is>
      </c>
      <c r="E3256" t="inlineStr">
        <is>
          <t>TIDAHOLM</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52703-2019</t>
        </is>
      </c>
      <c r="B3257" s="1" t="n">
        <v>43731</v>
      </c>
      <c r="C3257" s="1" t="n">
        <v>45227</v>
      </c>
      <c r="D3257" t="inlineStr">
        <is>
          <t>VÄSTRA GÖTALANDS LÄN</t>
        </is>
      </c>
      <c r="E3257" t="inlineStr">
        <is>
          <t>ULRICEHAMN</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49047-2019</t>
        </is>
      </c>
      <c r="B3258" s="1" t="n">
        <v>43731</v>
      </c>
      <c r="C3258" s="1" t="n">
        <v>45227</v>
      </c>
      <c r="D3258" t="inlineStr">
        <is>
          <t>VÄSTRA GÖTALANDS LÄN</t>
        </is>
      </c>
      <c r="E3258" t="inlineStr">
        <is>
          <t>TÖREBODA</t>
        </is>
      </c>
      <c r="G3258" t="n">
        <v>1.9</v>
      </c>
      <c r="H3258" t="n">
        <v>0</v>
      </c>
      <c r="I3258" t="n">
        <v>0</v>
      </c>
      <c r="J3258" t="n">
        <v>0</v>
      </c>
      <c r="K3258" t="n">
        <v>0</v>
      </c>
      <c r="L3258" t="n">
        <v>0</v>
      </c>
      <c r="M3258" t="n">
        <v>0</v>
      </c>
      <c r="N3258" t="n">
        <v>0</v>
      </c>
      <c r="O3258" t="n">
        <v>0</v>
      </c>
      <c r="P3258" t="n">
        <v>0</v>
      </c>
      <c r="Q3258" t="n">
        <v>0</v>
      </c>
      <c r="R3258" s="2" t="inlineStr"/>
    </row>
    <row r="3259" ht="15" customHeight="1">
      <c r="A3259" t="inlineStr">
        <is>
          <t>A 49068-2019</t>
        </is>
      </c>
      <c r="B3259" s="1" t="n">
        <v>43731</v>
      </c>
      <c r="C3259" s="1" t="n">
        <v>45227</v>
      </c>
      <c r="D3259" t="inlineStr">
        <is>
          <t>VÄSTRA GÖTALANDS LÄN</t>
        </is>
      </c>
      <c r="E3259" t="inlineStr">
        <is>
          <t>BENGTSFORS</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50475-2019</t>
        </is>
      </c>
      <c r="B3260" s="1" t="n">
        <v>43731</v>
      </c>
      <c r="C3260" s="1" t="n">
        <v>45227</v>
      </c>
      <c r="D3260" t="inlineStr">
        <is>
          <t>VÄSTRA GÖTALANDS LÄN</t>
        </is>
      </c>
      <c r="E3260" t="inlineStr">
        <is>
          <t>TIDAHOLM</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49250-2019</t>
        </is>
      </c>
      <c r="B3261" s="1" t="n">
        <v>43731</v>
      </c>
      <c r="C3261" s="1" t="n">
        <v>45227</v>
      </c>
      <c r="D3261" t="inlineStr">
        <is>
          <t>VÄSTRA GÖTALANDS LÄN</t>
        </is>
      </c>
      <c r="E3261" t="inlineStr">
        <is>
          <t>MUNKEDAL</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49714-2019</t>
        </is>
      </c>
      <c r="B3262" s="1" t="n">
        <v>43731</v>
      </c>
      <c r="C3262" s="1" t="n">
        <v>45227</v>
      </c>
      <c r="D3262" t="inlineStr">
        <is>
          <t>VÄSTRA GÖTALANDS LÄN</t>
        </is>
      </c>
      <c r="E3262" t="inlineStr">
        <is>
          <t>ULRICEHAMN</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49171-2019</t>
        </is>
      </c>
      <c r="B3263" s="1" t="n">
        <v>43731</v>
      </c>
      <c r="C3263" s="1" t="n">
        <v>45227</v>
      </c>
      <c r="D3263" t="inlineStr">
        <is>
          <t>VÄSTRA GÖTALANDS LÄN</t>
        </is>
      </c>
      <c r="E3263" t="inlineStr">
        <is>
          <t>ULRICEHAMN</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49219-2019</t>
        </is>
      </c>
      <c r="B3264" s="1" t="n">
        <v>43731</v>
      </c>
      <c r="C3264" s="1" t="n">
        <v>45227</v>
      </c>
      <c r="D3264" t="inlineStr">
        <is>
          <t>VÄSTRA GÖTALANDS LÄN</t>
        </is>
      </c>
      <c r="E3264" t="inlineStr">
        <is>
          <t>FALKÖPING</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49232-2019</t>
        </is>
      </c>
      <c r="B3265" s="1" t="n">
        <v>43731</v>
      </c>
      <c r="C3265" s="1" t="n">
        <v>45227</v>
      </c>
      <c r="D3265" t="inlineStr">
        <is>
          <t>VÄSTRA GÖTALANDS LÄN</t>
        </is>
      </c>
      <c r="E3265" t="inlineStr">
        <is>
          <t>ULRICEHAMN</t>
        </is>
      </c>
      <c r="F3265" t="inlineStr">
        <is>
          <t>Sveaskog</t>
        </is>
      </c>
      <c r="G3265" t="n">
        <v>2.7</v>
      </c>
      <c r="H3265" t="n">
        <v>0</v>
      </c>
      <c r="I3265" t="n">
        <v>0</v>
      </c>
      <c r="J3265" t="n">
        <v>0</v>
      </c>
      <c r="K3265" t="n">
        <v>0</v>
      </c>
      <c r="L3265" t="n">
        <v>0</v>
      </c>
      <c r="M3265" t="n">
        <v>0</v>
      </c>
      <c r="N3265" t="n">
        <v>0</v>
      </c>
      <c r="O3265" t="n">
        <v>0</v>
      </c>
      <c r="P3265" t="n">
        <v>0</v>
      </c>
      <c r="Q3265" t="n">
        <v>0</v>
      </c>
      <c r="R3265" s="2" t="inlineStr"/>
    </row>
    <row r="3266" ht="15" customHeight="1">
      <c r="A3266" t="inlineStr">
        <is>
          <t>A 49052-2019</t>
        </is>
      </c>
      <c r="B3266" s="1" t="n">
        <v>43731</v>
      </c>
      <c r="C3266" s="1" t="n">
        <v>45227</v>
      </c>
      <c r="D3266" t="inlineStr">
        <is>
          <t>VÄSTRA GÖTALANDS LÄN</t>
        </is>
      </c>
      <c r="E3266" t="inlineStr">
        <is>
          <t>BORÅS</t>
        </is>
      </c>
      <c r="G3266" t="n">
        <v>6.3</v>
      </c>
      <c r="H3266" t="n">
        <v>0</v>
      </c>
      <c r="I3266" t="n">
        <v>0</v>
      </c>
      <c r="J3266" t="n">
        <v>0</v>
      </c>
      <c r="K3266" t="n">
        <v>0</v>
      </c>
      <c r="L3266" t="n">
        <v>0</v>
      </c>
      <c r="M3266" t="n">
        <v>0</v>
      </c>
      <c r="N3266" t="n">
        <v>0</v>
      </c>
      <c r="O3266" t="n">
        <v>0</v>
      </c>
      <c r="P3266" t="n">
        <v>0</v>
      </c>
      <c r="Q3266" t="n">
        <v>0</v>
      </c>
      <c r="R3266" s="2" t="inlineStr"/>
    </row>
    <row r="3267" ht="15" customHeight="1">
      <c r="A3267" t="inlineStr">
        <is>
          <t>A 49341-2019</t>
        </is>
      </c>
      <c r="B3267" s="1" t="n">
        <v>43731</v>
      </c>
      <c r="C3267" s="1" t="n">
        <v>45227</v>
      </c>
      <c r="D3267" t="inlineStr">
        <is>
          <t>VÄSTRA GÖTALANDS LÄN</t>
        </is>
      </c>
      <c r="E3267" t="inlineStr">
        <is>
          <t>UDDEVALLA</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49386-2019</t>
        </is>
      </c>
      <c r="B3268" s="1" t="n">
        <v>43732</v>
      </c>
      <c r="C3268" s="1" t="n">
        <v>45227</v>
      </c>
      <c r="D3268" t="inlineStr">
        <is>
          <t>VÄSTRA GÖTALANDS LÄN</t>
        </is>
      </c>
      <c r="E3268" t="inlineStr">
        <is>
          <t>GÖTENE</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49486-2019</t>
        </is>
      </c>
      <c r="B3269" s="1" t="n">
        <v>43732</v>
      </c>
      <c r="C3269" s="1" t="n">
        <v>45227</v>
      </c>
      <c r="D3269" t="inlineStr">
        <is>
          <t>VÄSTRA GÖTALANDS LÄN</t>
        </is>
      </c>
      <c r="E3269" t="inlineStr">
        <is>
          <t>MUNKEDAL</t>
        </is>
      </c>
      <c r="G3269" t="n">
        <v>12.2</v>
      </c>
      <c r="H3269" t="n">
        <v>0</v>
      </c>
      <c r="I3269" t="n">
        <v>0</v>
      </c>
      <c r="J3269" t="n">
        <v>0</v>
      </c>
      <c r="K3269" t="n">
        <v>0</v>
      </c>
      <c r="L3269" t="n">
        <v>0</v>
      </c>
      <c r="M3269" t="n">
        <v>0</v>
      </c>
      <c r="N3269" t="n">
        <v>0</v>
      </c>
      <c r="O3269" t="n">
        <v>0</v>
      </c>
      <c r="P3269" t="n">
        <v>0</v>
      </c>
      <c r="Q3269" t="n">
        <v>0</v>
      </c>
      <c r="R3269" s="2" t="inlineStr"/>
    </row>
    <row r="3270" ht="15" customHeight="1">
      <c r="A3270" t="inlineStr">
        <is>
          <t>A 49495-2019</t>
        </is>
      </c>
      <c r="B3270" s="1" t="n">
        <v>43732</v>
      </c>
      <c r="C3270" s="1" t="n">
        <v>45227</v>
      </c>
      <c r="D3270" t="inlineStr">
        <is>
          <t>VÄSTRA GÖTALANDS LÄN</t>
        </is>
      </c>
      <c r="E3270" t="inlineStr">
        <is>
          <t>MUNKEDAL</t>
        </is>
      </c>
      <c r="G3270" t="n">
        <v>9.699999999999999</v>
      </c>
      <c r="H3270" t="n">
        <v>0</v>
      </c>
      <c r="I3270" t="n">
        <v>0</v>
      </c>
      <c r="J3270" t="n">
        <v>0</v>
      </c>
      <c r="K3270" t="n">
        <v>0</v>
      </c>
      <c r="L3270" t="n">
        <v>0</v>
      </c>
      <c r="M3270" t="n">
        <v>0</v>
      </c>
      <c r="N3270" t="n">
        <v>0</v>
      </c>
      <c r="O3270" t="n">
        <v>0</v>
      </c>
      <c r="P3270" t="n">
        <v>0</v>
      </c>
      <c r="Q3270" t="n">
        <v>0</v>
      </c>
      <c r="R3270" s="2" t="inlineStr"/>
    </row>
    <row r="3271" ht="15" customHeight="1">
      <c r="A3271" t="inlineStr">
        <is>
          <t>A 49519-2019</t>
        </is>
      </c>
      <c r="B3271" s="1" t="n">
        <v>43732</v>
      </c>
      <c r="C3271" s="1" t="n">
        <v>45227</v>
      </c>
      <c r="D3271" t="inlineStr">
        <is>
          <t>VÄSTRA GÖTALANDS LÄN</t>
        </is>
      </c>
      <c r="E3271" t="inlineStr">
        <is>
          <t>LERUM</t>
        </is>
      </c>
      <c r="G3271" t="n">
        <v>8.1</v>
      </c>
      <c r="H3271" t="n">
        <v>0</v>
      </c>
      <c r="I3271" t="n">
        <v>0</v>
      </c>
      <c r="J3271" t="n">
        <v>0</v>
      </c>
      <c r="K3271" t="n">
        <v>0</v>
      </c>
      <c r="L3271" t="n">
        <v>0</v>
      </c>
      <c r="M3271" t="n">
        <v>0</v>
      </c>
      <c r="N3271" t="n">
        <v>0</v>
      </c>
      <c r="O3271" t="n">
        <v>0</v>
      </c>
      <c r="P3271" t="n">
        <v>0</v>
      </c>
      <c r="Q3271" t="n">
        <v>0</v>
      </c>
      <c r="R3271" s="2" t="inlineStr"/>
    </row>
    <row r="3272" ht="15" customHeight="1">
      <c r="A3272" t="inlineStr">
        <is>
          <t>A 49523-2019</t>
        </is>
      </c>
      <c r="B3272" s="1" t="n">
        <v>43732</v>
      </c>
      <c r="C3272" s="1" t="n">
        <v>45227</v>
      </c>
      <c r="D3272" t="inlineStr">
        <is>
          <t>VÄSTRA GÖTALANDS LÄN</t>
        </is>
      </c>
      <c r="E3272" t="inlineStr">
        <is>
          <t>TIDAHOLM</t>
        </is>
      </c>
      <c r="G3272" t="n">
        <v>11.5</v>
      </c>
      <c r="H3272" t="n">
        <v>0</v>
      </c>
      <c r="I3272" t="n">
        <v>0</v>
      </c>
      <c r="J3272" t="n">
        <v>0</v>
      </c>
      <c r="K3272" t="n">
        <v>0</v>
      </c>
      <c r="L3272" t="n">
        <v>0</v>
      </c>
      <c r="M3272" t="n">
        <v>0</v>
      </c>
      <c r="N3272" t="n">
        <v>0</v>
      </c>
      <c r="O3272" t="n">
        <v>0</v>
      </c>
      <c r="P3272" t="n">
        <v>0</v>
      </c>
      <c r="Q3272" t="n">
        <v>0</v>
      </c>
      <c r="R3272" s="2" t="inlineStr"/>
    </row>
    <row r="3273" ht="15" customHeight="1">
      <c r="A3273" t="inlineStr">
        <is>
          <t>A 49544-2019</t>
        </is>
      </c>
      <c r="B3273" s="1" t="n">
        <v>43732</v>
      </c>
      <c r="C3273" s="1" t="n">
        <v>45227</v>
      </c>
      <c r="D3273" t="inlineStr">
        <is>
          <t>VÄSTRA GÖTALANDS LÄN</t>
        </is>
      </c>
      <c r="E3273" t="inlineStr">
        <is>
          <t>MARIESTAD</t>
        </is>
      </c>
      <c r="F3273" t="inlineStr">
        <is>
          <t>Kyrkan</t>
        </is>
      </c>
      <c r="G3273" t="n">
        <v>0.7</v>
      </c>
      <c r="H3273" t="n">
        <v>0</v>
      </c>
      <c r="I3273" t="n">
        <v>0</v>
      </c>
      <c r="J3273" t="n">
        <v>0</v>
      </c>
      <c r="K3273" t="n">
        <v>0</v>
      </c>
      <c r="L3273" t="n">
        <v>0</v>
      </c>
      <c r="M3273" t="n">
        <v>0</v>
      </c>
      <c r="N3273" t="n">
        <v>0</v>
      </c>
      <c r="O3273" t="n">
        <v>0</v>
      </c>
      <c r="P3273" t="n">
        <v>0</v>
      </c>
      <c r="Q3273" t="n">
        <v>0</v>
      </c>
      <c r="R3273" s="2" t="inlineStr"/>
    </row>
    <row r="3274" ht="15" customHeight="1">
      <c r="A3274" t="inlineStr">
        <is>
          <t>A 49654-2019</t>
        </is>
      </c>
      <c r="B3274" s="1" t="n">
        <v>43732</v>
      </c>
      <c r="C3274" s="1" t="n">
        <v>45227</v>
      </c>
      <c r="D3274" t="inlineStr">
        <is>
          <t>VÄSTRA GÖTALANDS LÄN</t>
        </is>
      </c>
      <c r="E3274" t="inlineStr">
        <is>
          <t>TRANEMO</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49660-2019</t>
        </is>
      </c>
      <c r="B3275" s="1" t="n">
        <v>43732</v>
      </c>
      <c r="C3275" s="1" t="n">
        <v>45227</v>
      </c>
      <c r="D3275" t="inlineStr">
        <is>
          <t>VÄSTRA GÖTALANDS LÄN</t>
        </is>
      </c>
      <c r="E3275" t="inlineStr">
        <is>
          <t>TIDAHOLM</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51055-2019</t>
        </is>
      </c>
      <c r="B3276" s="1" t="n">
        <v>43732</v>
      </c>
      <c r="C3276" s="1" t="n">
        <v>45227</v>
      </c>
      <c r="D3276" t="inlineStr">
        <is>
          <t>VÄSTRA GÖTALANDS LÄN</t>
        </is>
      </c>
      <c r="E3276" t="inlineStr">
        <is>
          <t>TANUM</t>
        </is>
      </c>
      <c r="G3276" t="n">
        <v>2.9</v>
      </c>
      <c r="H3276" t="n">
        <v>0</v>
      </c>
      <c r="I3276" t="n">
        <v>0</v>
      </c>
      <c r="J3276" t="n">
        <v>0</v>
      </c>
      <c r="K3276" t="n">
        <v>0</v>
      </c>
      <c r="L3276" t="n">
        <v>0</v>
      </c>
      <c r="M3276" t="n">
        <v>0</v>
      </c>
      <c r="N3276" t="n">
        <v>0</v>
      </c>
      <c r="O3276" t="n">
        <v>0</v>
      </c>
      <c r="P3276" t="n">
        <v>0</v>
      </c>
      <c r="Q3276" t="n">
        <v>0</v>
      </c>
      <c r="R3276" s="2" t="inlineStr"/>
    </row>
    <row r="3277" ht="15" customHeight="1">
      <c r="A3277" t="inlineStr">
        <is>
          <t>A 49806-2019</t>
        </is>
      </c>
      <c r="B3277" s="1" t="n">
        <v>43733</v>
      </c>
      <c r="C3277" s="1" t="n">
        <v>45227</v>
      </c>
      <c r="D3277" t="inlineStr">
        <is>
          <t>VÄSTRA GÖTALANDS LÄN</t>
        </is>
      </c>
      <c r="E3277" t="inlineStr">
        <is>
          <t>HÄRRYDA</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49938-2019</t>
        </is>
      </c>
      <c r="B3278" s="1" t="n">
        <v>43733</v>
      </c>
      <c r="C3278" s="1" t="n">
        <v>45227</v>
      </c>
      <c r="D3278" t="inlineStr">
        <is>
          <t>VÄSTRA GÖTALANDS LÄN</t>
        </is>
      </c>
      <c r="E3278" t="inlineStr">
        <is>
          <t>VÄNERSBORG</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49944-2019</t>
        </is>
      </c>
      <c r="B3279" s="1" t="n">
        <v>43733</v>
      </c>
      <c r="C3279" s="1" t="n">
        <v>45227</v>
      </c>
      <c r="D3279" t="inlineStr">
        <is>
          <t>VÄSTRA GÖTALANDS LÄN</t>
        </is>
      </c>
      <c r="E3279" t="inlineStr">
        <is>
          <t>FÄRGELANDA</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49730-2019</t>
        </is>
      </c>
      <c r="B3280" s="1" t="n">
        <v>43733</v>
      </c>
      <c r="C3280" s="1" t="n">
        <v>45227</v>
      </c>
      <c r="D3280" t="inlineStr">
        <is>
          <t>VÄSTRA GÖTALANDS LÄN</t>
        </is>
      </c>
      <c r="E3280" t="inlineStr">
        <is>
          <t>SVENLJUNGA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49773-2019</t>
        </is>
      </c>
      <c r="B3281" s="1" t="n">
        <v>43733</v>
      </c>
      <c r="C3281" s="1" t="n">
        <v>45227</v>
      </c>
      <c r="D3281" t="inlineStr">
        <is>
          <t>VÄSTRA GÖTALANDS LÄN</t>
        </is>
      </c>
      <c r="E3281" t="inlineStr">
        <is>
          <t>KARLSBORG</t>
        </is>
      </c>
      <c r="F3281" t="inlineStr">
        <is>
          <t>Sveaskog</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49929-2019</t>
        </is>
      </c>
      <c r="B3282" s="1" t="n">
        <v>43733</v>
      </c>
      <c r="C3282" s="1" t="n">
        <v>45227</v>
      </c>
      <c r="D3282" t="inlineStr">
        <is>
          <t>VÄSTRA GÖTALANDS LÄN</t>
        </is>
      </c>
      <c r="E3282" t="inlineStr">
        <is>
          <t>UDDEVALLA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49805-2019</t>
        </is>
      </c>
      <c r="B3283" s="1" t="n">
        <v>43733</v>
      </c>
      <c r="C3283" s="1" t="n">
        <v>45227</v>
      </c>
      <c r="D3283" t="inlineStr">
        <is>
          <t>VÄSTRA GÖTALANDS LÄN</t>
        </is>
      </c>
      <c r="E3283" t="inlineStr">
        <is>
          <t>VARA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49936-2019</t>
        </is>
      </c>
      <c r="B3284" s="1" t="n">
        <v>43733</v>
      </c>
      <c r="C3284" s="1" t="n">
        <v>45227</v>
      </c>
      <c r="D3284" t="inlineStr">
        <is>
          <t>VÄSTRA GÖTALANDS LÄN</t>
        </is>
      </c>
      <c r="E3284" t="inlineStr">
        <is>
          <t>VÄNERSBORG</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49787-2019</t>
        </is>
      </c>
      <c r="B3285" s="1" t="n">
        <v>43733</v>
      </c>
      <c r="C3285" s="1" t="n">
        <v>45227</v>
      </c>
      <c r="D3285" t="inlineStr">
        <is>
          <t>VÄSTRA GÖTALANDS LÄN</t>
        </is>
      </c>
      <c r="E3285" t="inlineStr">
        <is>
          <t>ALINGSÅS</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49797-2019</t>
        </is>
      </c>
      <c r="B3286" s="1" t="n">
        <v>43733</v>
      </c>
      <c r="C3286" s="1" t="n">
        <v>45227</v>
      </c>
      <c r="D3286" t="inlineStr">
        <is>
          <t>VÄSTRA GÖTALANDS LÄN</t>
        </is>
      </c>
      <c r="E3286" t="inlineStr">
        <is>
          <t>HÄRRYDA</t>
        </is>
      </c>
      <c r="G3286" t="n">
        <v>1.8</v>
      </c>
      <c r="H3286" t="n">
        <v>0</v>
      </c>
      <c r="I3286" t="n">
        <v>0</v>
      </c>
      <c r="J3286" t="n">
        <v>0</v>
      </c>
      <c r="K3286" t="n">
        <v>0</v>
      </c>
      <c r="L3286" t="n">
        <v>0</v>
      </c>
      <c r="M3286" t="n">
        <v>0</v>
      </c>
      <c r="N3286" t="n">
        <v>0</v>
      </c>
      <c r="O3286" t="n">
        <v>0</v>
      </c>
      <c r="P3286" t="n">
        <v>0</v>
      </c>
      <c r="Q3286" t="n">
        <v>0</v>
      </c>
      <c r="R3286" s="2" t="inlineStr"/>
    </row>
    <row r="3287" ht="15" customHeight="1">
      <c r="A3287" t="inlineStr">
        <is>
          <t>A 49862-2019</t>
        </is>
      </c>
      <c r="B3287" s="1" t="n">
        <v>43733</v>
      </c>
      <c r="C3287" s="1" t="n">
        <v>45227</v>
      </c>
      <c r="D3287" t="inlineStr">
        <is>
          <t>VÄSTRA GÖTALANDS LÄN</t>
        </is>
      </c>
      <c r="E3287" t="inlineStr">
        <is>
          <t>MUNKEDAL</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49930-2019</t>
        </is>
      </c>
      <c r="B3288" s="1" t="n">
        <v>43733</v>
      </c>
      <c r="C3288" s="1" t="n">
        <v>45227</v>
      </c>
      <c r="D3288" t="inlineStr">
        <is>
          <t>VÄSTRA GÖTALANDS LÄN</t>
        </is>
      </c>
      <c r="E3288" t="inlineStr">
        <is>
          <t>UDDEVALLA</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50078-2019</t>
        </is>
      </c>
      <c r="B3289" s="1" t="n">
        <v>43734</v>
      </c>
      <c r="C3289" s="1" t="n">
        <v>45227</v>
      </c>
      <c r="D3289" t="inlineStr">
        <is>
          <t>VÄSTRA GÖTALANDS LÄN</t>
        </is>
      </c>
      <c r="E3289" t="inlineStr">
        <is>
          <t>HERRLJUNGA</t>
        </is>
      </c>
      <c r="F3289" t="inlineStr">
        <is>
          <t>Kyrkan</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50168-2019</t>
        </is>
      </c>
      <c r="B3290" s="1" t="n">
        <v>43734</v>
      </c>
      <c r="C3290" s="1" t="n">
        <v>45227</v>
      </c>
      <c r="D3290" t="inlineStr">
        <is>
          <t>VÄSTRA GÖTALANDS LÄN</t>
        </is>
      </c>
      <c r="E3290" t="inlineStr">
        <is>
          <t>HÄRRYDA</t>
        </is>
      </c>
      <c r="G3290" t="n">
        <v>3.4</v>
      </c>
      <c r="H3290" t="n">
        <v>0</v>
      </c>
      <c r="I3290" t="n">
        <v>0</v>
      </c>
      <c r="J3290" t="n">
        <v>0</v>
      </c>
      <c r="K3290" t="n">
        <v>0</v>
      </c>
      <c r="L3290" t="n">
        <v>0</v>
      </c>
      <c r="M3290" t="n">
        <v>0</v>
      </c>
      <c r="N3290" t="n">
        <v>0</v>
      </c>
      <c r="O3290" t="n">
        <v>0</v>
      </c>
      <c r="P3290" t="n">
        <v>0</v>
      </c>
      <c r="Q3290" t="n">
        <v>0</v>
      </c>
      <c r="R3290" s="2" t="inlineStr"/>
    </row>
    <row r="3291" ht="15" customHeight="1">
      <c r="A3291" t="inlineStr">
        <is>
          <t>A 50095-2019</t>
        </is>
      </c>
      <c r="B3291" s="1" t="n">
        <v>43734</v>
      </c>
      <c r="C3291" s="1" t="n">
        <v>45227</v>
      </c>
      <c r="D3291" t="inlineStr">
        <is>
          <t>VÄSTRA GÖTALANDS LÄN</t>
        </is>
      </c>
      <c r="E3291" t="inlineStr">
        <is>
          <t>GULLSPÅNG</t>
        </is>
      </c>
      <c r="G3291" t="n">
        <v>12.6</v>
      </c>
      <c r="H3291" t="n">
        <v>0</v>
      </c>
      <c r="I3291" t="n">
        <v>0</v>
      </c>
      <c r="J3291" t="n">
        <v>0</v>
      </c>
      <c r="K3291" t="n">
        <v>0</v>
      </c>
      <c r="L3291" t="n">
        <v>0</v>
      </c>
      <c r="M3291" t="n">
        <v>0</v>
      </c>
      <c r="N3291" t="n">
        <v>0</v>
      </c>
      <c r="O3291" t="n">
        <v>0</v>
      </c>
      <c r="P3291" t="n">
        <v>0</v>
      </c>
      <c r="Q3291" t="n">
        <v>0</v>
      </c>
      <c r="R3291" s="2" t="inlineStr"/>
    </row>
    <row r="3292" ht="15" customHeight="1">
      <c r="A3292" t="inlineStr">
        <is>
          <t>A 51957-2019</t>
        </is>
      </c>
      <c r="B3292" s="1" t="n">
        <v>43734</v>
      </c>
      <c r="C3292" s="1" t="n">
        <v>45227</v>
      </c>
      <c r="D3292" t="inlineStr">
        <is>
          <t>VÄSTRA GÖTALANDS LÄN</t>
        </is>
      </c>
      <c r="E3292" t="inlineStr">
        <is>
          <t>TRANEMO</t>
        </is>
      </c>
      <c r="G3292" t="n">
        <v>5.5</v>
      </c>
      <c r="H3292" t="n">
        <v>0</v>
      </c>
      <c r="I3292" t="n">
        <v>0</v>
      </c>
      <c r="J3292" t="n">
        <v>0</v>
      </c>
      <c r="K3292" t="n">
        <v>0</v>
      </c>
      <c r="L3292" t="n">
        <v>0</v>
      </c>
      <c r="M3292" t="n">
        <v>0</v>
      </c>
      <c r="N3292" t="n">
        <v>0</v>
      </c>
      <c r="O3292" t="n">
        <v>0</v>
      </c>
      <c r="P3292" t="n">
        <v>0</v>
      </c>
      <c r="Q3292" t="n">
        <v>0</v>
      </c>
      <c r="R3292" s="2" t="inlineStr"/>
    </row>
    <row r="3293" ht="15" customHeight="1">
      <c r="A3293" t="inlineStr">
        <is>
          <t>A 50076-2019</t>
        </is>
      </c>
      <c r="B3293" s="1" t="n">
        <v>43734</v>
      </c>
      <c r="C3293" s="1" t="n">
        <v>45227</v>
      </c>
      <c r="D3293" t="inlineStr">
        <is>
          <t>VÄSTRA GÖTALANDS LÄN</t>
        </is>
      </c>
      <c r="E3293" t="inlineStr">
        <is>
          <t>GULLSPÅNG</t>
        </is>
      </c>
      <c r="G3293" t="n">
        <v>10</v>
      </c>
      <c r="H3293" t="n">
        <v>0</v>
      </c>
      <c r="I3293" t="n">
        <v>0</v>
      </c>
      <c r="J3293" t="n">
        <v>0</v>
      </c>
      <c r="K3293" t="n">
        <v>0</v>
      </c>
      <c r="L3293" t="n">
        <v>0</v>
      </c>
      <c r="M3293" t="n">
        <v>0</v>
      </c>
      <c r="N3293" t="n">
        <v>0</v>
      </c>
      <c r="O3293" t="n">
        <v>0</v>
      </c>
      <c r="P3293" t="n">
        <v>0</v>
      </c>
      <c r="Q3293" t="n">
        <v>0</v>
      </c>
      <c r="R3293" s="2" t="inlineStr"/>
    </row>
    <row r="3294" ht="15" customHeight="1">
      <c r="A3294" t="inlineStr">
        <is>
          <t>A 50111-2019</t>
        </is>
      </c>
      <c r="B3294" s="1" t="n">
        <v>43734</v>
      </c>
      <c r="C3294" s="1" t="n">
        <v>45227</v>
      </c>
      <c r="D3294" t="inlineStr">
        <is>
          <t>VÄSTRA GÖTALANDS LÄN</t>
        </is>
      </c>
      <c r="E3294" t="inlineStr">
        <is>
          <t>HERRLJUNGA</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50210-2019</t>
        </is>
      </c>
      <c r="B3295" s="1" t="n">
        <v>43734</v>
      </c>
      <c r="C3295" s="1" t="n">
        <v>45227</v>
      </c>
      <c r="D3295" t="inlineStr">
        <is>
          <t>VÄSTRA GÖTALANDS LÄN</t>
        </is>
      </c>
      <c r="E3295" t="inlineStr">
        <is>
          <t>ALINGSÅS</t>
        </is>
      </c>
      <c r="F3295" t="inlineStr">
        <is>
          <t>Kyrkan</t>
        </is>
      </c>
      <c r="G3295" t="n">
        <v>7.6</v>
      </c>
      <c r="H3295" t="n">
        <v>0</v>
      </c>
      <c r="I3295" t="n">
        <v>0</v>
      </c>
      <c r="J3295" t="n">
        <v>0</v>
      </c>
      <c r="K3295" t="n">
        <v>0</v>
      </c>
      <c r="L3295" t="n">
        <v>0</v>
      </c>
      <c r="M3295" t="n">
        <v>0</v>
      </c>
      <c r="N3295" t="n">
        <v>0</v>
      </c>
      <c r="O3295" t="n">
        <v>0</v>
      </c>
      <c r="P3295" t="n">
        <v>0</v>
      </c>
      <c r="Q3295" t="n">
        <v>0</v>
      </c>
      <c r="R3295" s="2" t="inlineStr"/>
    </row>
    <row r="3296" ht="15" customHeight="1">
      <c r="A3296" t="inlineStr">
        <is>
          <t>A 50236-2019</t>
        </is>
      </c>
      <c r="B3296" s="1" t="n">
        <v>43734</v>
      </c>
      <c r="C3296" s="1" t="n">
        <v>45227</v>
      </c>
      <c r="D3296" t="inlineStr">
        <is>
          <t>VÄSTRA GÖTALANDS LÄN</t>
        </is>
      </c>
      <c r="E3296" t="inlineStr">
        <is>
          <t>ALINGSÅS</t>
        </is>
      </c>
      <c r="F3296" t="inlineStr">
        <is>
          <t>Kyrkan</t>
        </is>
      </c>
      <c r="G3296" t="n">
        <v>13.5</v>
      </c>
      <c r="H3296" t="n">
        <v>0</v>
      </c>
      <c r="I3296" t="n">
        <v>0</v>
      </c>
      <c r="J3296" t="n">
        <v>0</v>
      </c>
      <c r="K3296" t="n">
        <v>0</v>
      </c>
      <c r="L3296" t="n">
        <v>0</v>
      </c>
      <c r="M3296" t="n">
        <v>0</v>
      </c>
      <c r="N3296" t="n">
        <v>0</v>
      </c>
      <c r="O3296" t="n">
        <v>0</v>
      </c>
      <c r="P3296" t="n">
        <v>0</v>
      </c>
      <c r="Q3296" t="n">
        <v>0</v>
      </c>
      <c r="R3296" s="2" t="inlineStr"/>
    </row>
    <row r="3297" ht="15" customHeight="1">
      <c r="A3297" t="inlineStr">
        <is>
          <t>A 50427-2019</t>
        </is>
      </c>
      <c r="B3297" s="1" t="n">
        <v>43735</v>
      </c>
      <c r="C3297" s="1" t="n">
        <v>45227</v>
      </c>
      <c r="D3297" t="inlineStr">
        <is>
          <t>VÄSTRA GÖTALANDS LÄN</t>
        </is>
      </c>
      <c r="E3297" t="inlineStr">
        <is>
          <t>TIBRO</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52198-2019</t>
        </is>
      </c>
      <c r="B3298" s="1" t="n">
        <v>43735</v>
      </c>
      <c r="C3298" s="1" t="n">
        <v>45227</v>
      </c>
      <c r="D3298" t="inlineStr">
        <is>
          <t>VÄSTRA GÖTALANDS LÄN</t>
        </is>
      </c>
      <c r="E3298" t="inlineStr">
        <is>
          <t>UDDEVALLA</t>
        </is>
      </c>
      <c r="G3298" t="n">
        <v>2.4</v>
      </c>
      <c r="H3298" t="n">
        <v>0</v>
      </c>
      <c r="I3298" t="n">
        <v>0</v>
      </c>
      <c r="J3298" t="n">
        <v>0</v>
      </c>
      <c r="K3298" t="n">
        <v>0</v>
      </c>
      <c r="L3298" t="n">
        <v>0</v>
      </c>
      <c r="M3298" t="n">
        <v>0</v>
      </c>
      <c r="N3298" t="n">
        <v>0</v>
      </c>
      <c r="O3298" t="n">
        <v>0</v>
      </c>
      <c r="P3298" t="n">
        <v>0</v>
      </c>
      <c r="Q3298" t="n">
        <v>0</v>
      </c>
      <c r="R3298" s="2" t="inlineStr"/>
    </row>
    <row r="3299" ht="15" customHeight="1">
      <c r="A3299" t="inlineStr">
        <is>
          <t>A 50363-2019</t>
        </is>
      </c>
      <c r="B3299" s="1" t="n">
        <v>43735</v>
      </c>
      <c r="C3299" s="1" t="n">
        <v>45227</v>
      </c>
      <c r="D3299" t="inlineStr">
        <is>
          <t>VÄSTRA GÖTALANDS LÄN</t>
        </is>
      </c>
      <c r="E3299" t="inlineStr">
        <is>
          <t>ALINGSÅS</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50538-2019</t>
        </is>
      </c>
      <c r="B3300" s="1" t="n">
        <v>43735</v>
      </c>
      <c r="C3300" s="1" t="n">
        <v>45227</v>
      </c>
      <c r="D3300" t="inlineStr">
        <is>
          <t>VÄSTRA GÖTALANDS LÄN</t>
        </is>
      </c>
      <c r="E3300" t="inlineStr">
        <is>
          <t>ALE</t>
        </is>
      </c>
      <c r="G3300" t="n">
        <v>10.9</v>
      </c>
      <c r="H3300" t="n">
        <v>0</v>
      </c>
      <c r="I3300" t="n">
        <v>0</v>
      </c>
      <c r="J3300" t="n">
        <v>0</v>
      </c>
      <c r="K3300" t="n">
        <v>0</v>
      </c>
      <c r="L3300" t="n">
        <v>0</v>
      </c>
      <c r="M3300" t="n">
        <v>0</v>
      </c>
      <c r="N3300" t="n">
        <v>0</v>
      </c>
      <c r="O3300" t="n">
        <v>0</v>
      </c>
      <c r="P3300" t="n">
        <v>0</v>
      </c>
      <c r="Q3300" t="n">
        <v>0</v>
      </c>
      <c r="R3300" s="2" t="inlineStr"/>
    </row>
    <row r="3301" ht="15" customHeight="1">
      <c r="A3301" t="inlineStr">
        <is>
          <t>A 50400-2019</t>
        </is>
      </c>
      <c r="B3301" s="1" t="n">
        <v>43735</v>
      </c>
      <c r="C3301" s="1" t="n">
        <v>45227</v>
      </c>
      <c r="D3301" t="inlineStr">
        <is>
          <t>VÄSTRA GÖTALANDS LÄN</t>
        </is>
      </c>
      <c r="E3301" t="inlineStr">
        <is>
          <t>ÅMÅL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50365-2019</t>
        </is>
      </c>
      <c r="B3302" s="1" t="n">
        <v>43735</v>
      </c>
      <c r="C3302" s="1" t="n">
        <v>45227</v>
      </c>
      <c r="D3302" t="inlineStr">
        <is>
          <t>VÄSTRA GÖTALANDS LÄN</t>
        </is>
      </c>
      <c r="E3302" t="inlineStr">
        <is>
          <t>BENGTSFORS</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50643-2019</t>
        </is>
      </c>
      <c r="B3303" s="1" t="n">
        <v>43737</v>
      </c>
      <c r="C3303" s="1" t="n">
        <v>45227</v>
      </c>
      <c r="D3303" t="inlineStr">
        <is>
          <t>VÄSTRA GÖTALANDS LÄN</t>
        </is>
      </c>
      <c r="E3303" t="inlineStr">
        <is>
          <t>GULLSPÅNG</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50646-2019</t>
        </is>
      </c>
      <c r="B3304" s="1" t="n">
        <v>43737</v>
      </c>
      <c r="C3304" s="1" t="n">
        <v>45227</v>
      </c>
      <c r="D3304" t="inlineStr">
        <is>
          <t>VÄSTRA GÖTALANDS LÄN</t>
        </is>
      </c>
      <c r="E3304" t="inlineStr">
        <is>
          <t>ÅMÅL</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50645-2019</t>
        </is>
      </c>
      <c r="B3305" s="1" t="n">
        <v>43737</v>
      </c>
      <c r="C3305" s="1" t="n">
        <v>45227</v>
      </c>
      <c r="D3305" t="inlineStr">
        <is>
          <t>VÄSTRA GÖTALANDS LÄN</t>
        </is>
      </c>
      <c r="E3305" t="inlineStr">
        <is>
          <t>ÅMÅL</t>
        </is>
      </c>
      <c r="G3305" t="n">
        <v>0.3</v>
      </c>
      <c r="H3305" t="n">
        <v>0</v>
      </c>
      <c r="I3305" t="n">
        <v>0</v>
      </c>
      <c r="J3305" t="n">
        <v>0</v>
      </c>
      <c r="K3305" t="n">
        <v>0</v>
      </c>
      <c r="L3305" t="n">
        <v>0</v>
      </c>
      <c r="M3305" t="n">
        <v>0</v>
      </c>
      <c r="N3305" t="n">
        <v>0</v>
      </c>
      <c r="O3305" t="n">
        <v>0</v>
      </c>
      <c r="P3305" t="n">
        <v>0</v>
      </c>
      <c r="Q3305" t="n">
        <v>0</v>
      </c>
      <c r="R3305" s="2" t="inlineStr"/>
    </row>
    <row r="3306" ht="15" customHeight="1">
      <c r="A3306" t="inlineStr">
        <is>
          <t>A 50648-2019</t>
        </is>
      </c>
      <c r="B3306" s="1" t="n">
        <v>43737</v>
      </c>
      <c r="C3306" s="1" t="n">
        <v>45227</v>
      </c>
      <c r="D3306" t="inlineStr">
        <is>
          <t>VÄSTRA GÖTALANDS LÄN</t>
        </is>
      </c>
      <c r="E3306" t="inlineStr">
        <is>
          <t>ÅMÅL</t>
        </is>
      </c>
      <c r="G3306" t="n">
        <v>0.5</v>
      </c>
      <c r="H3306" t="n">
        <v>0</v>
      </c>
      <c r="I3306" t="n">
        <v>0</v>
      </c>
      <c r="J3306" t="n">
        <v>0</v>
      </c>
      <c r="K3306" t="n">
        <v>0</v>
      </c>
      <c r="L3306" t="n">
        <v>0</v>
      </c>
      <c r="M3306" t="n">
        <v>0</v>
      </c>
      <c r="N3306" t="n">
        <v>0</v>
      </c>
      <c r="O3306" t="n">
        <v>0</v>
      </c>
      <c r="P3306" t="n">
        <v>0</v>
      </c>
      <c r="Q3306" t="n">
        <v>0</v>
      </c>
      <c r="R3306" s="2" t="inlineStr"/>
    </row>
    <row r="3307" ht="15" customHeight="1">
      <c r="A3307" t="inlineStr">
        <is>
          <t>A 50661-2019</t>
        </is>
      </c>
      <c r="B3307" s="1" t="n">
        <v>43737</v>
      </c>
      <c r="C3307" s="1" t="n">
        <v>45227</v>
      </c>
      <c r="D3307" t="inlineStr">
        <is>
          <t>VÄSTRA GÖTALANDS LÄN</t>
        </is>
      </c>
      <c r="E3307" t="inlineStr">
        <is>
          <t>TROLLHÄTTAN</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50715-2019</t>
        </is>
      </c>
      <c r="B3308" s="1" t="n">
        <v>43738</v>
      </c>
      <c r="C3308" s="1" t="n">
        <v>45227</v>
      </c>
      <c r="D3308" t="inlineStr">
        <is>
          <t>VÄSTRA GÖTALANDS LÄN</t>
        </is>
      </c>
      <c r="E3308" t="inlineStr">
        <is>
          <t>MÖLNDAL</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50741-2019</t>
        </is>
      </c>
      <c r="B3309" s="1" t="n">
        <v>43738</v>
      </c>
      <c r="C3309" s="1" t="n">
        <v>45227</v>
      </c>
      <c r="D3309" t="inlineStr">
        <is>
          <t>VÄSTRA GÖTALANDS LÄN</t>
        </is>
      </c>
      <c r="E3309" t="inlineStr">
        <is>
          <t>BENGTSFORS</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50871-2019</t>
        </is>
      </c>
      <c r="B3310" s="1" t="n">
        <v>43738</v>
      </c>
      <c r="C3310" s="1" t="n">
        <v>45227</v>
      </c>
      <c r="D3310" t="inlineStr">
        <is>
          <t>VÄSTRA GÖTALANDS LÄN</t>
        </is>
      </c>
      <c r="E3310" t="inlineStr">
        <is>
          <t>KUNGÄLV</t>
        </is>
      </c>
      <c r="G3310" t="n">
        <v>19.2</v>
      </c>
      <c r="H3310" t="n">
        <v>0</v>
      </c>
      <c r="I3310" t="n">
        <v>0</v>
      </c>
      <c r="J3310" t="n">
        <v>0</v>
      </c>
      <c r="K3310" t="n">
        <v>0</v>
      </c>
      <c r="L3310" t="n">
        <v>0</v>
      </c>
      <c r="M3310" t="n">
        <v>0</v>
      </c>
      <c r="N3310" t="n">
        <v>0</v>
      </c>
      <c r="O3310" t="n">
        <v>0</v>
      </c>
      <c r="P3310" t="n">
        <v>0</v>
      </c>
      <c r="Q3310" t="n">
        <v>0</v>
      </c>
      <c r="R3310" s="2" t="inlineStr"/>
    </row>
    <row r="3311" ht="15" customHeight="1">
      <c r="A3311" t="inlineStr">
        <is>
          <t>A 50832-2019</t>
        </is>
      </c>
      <c r="B3311" s="1" t="n">
        <v>43738</v>
      </c>
      <c r="C3311" s="1" t="n">
        <v>45227</v>
      </c>
      <c r="D3311" t="inlineStr">
        <is>
          <t>VÄSTRA GÖTALANDS LÄN</t>
        </is>
      </c>
      <c r="E3311" t="inlineStr">
        <is>
          <t>ALINGSÅS</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50731-2019</t>
        </is>
      </c>
      <c r="B3312" s="1" t="n">
        <v>43738</v>
      </c>
      <c r="C3312" s="1" t="n">
        <v>45227</v>
      </c>
      <c r="D3312" t="inlineStr">
        <is>
          <t>VÄSTRA GÖTALANDS LÄN</t>
        </is>
      </c>
      <c r="E3312" t="inlineStr">
        <is>
          <t>FÄRGELANDA</t>
        </is>
      </c>
      <c r="G3312" t="n">
        <v>17.2</v>
      </c>
      <c r="H3312" t="n">
        <v>0</v>
      </c>
      <c r="I3312" t="n">
        <v>0</v>
      </c>
      <c r="J3312" t="n">
        <v>0</v>
      </c>
      <c r="K3312" t="n">
        <v>0</v>
      </c>
      <c r="L3312" t="n">
        <v>0</v>
      </c>
      <c r="M3312" t="n">
        <v>0</v>
      </c>
      <c r="N3312" t="n">
        <v>0</v>
      </c>
      <c r="O3312" t="n">
        <v>0</v>
      </c>
      <c r="P3312" t="n">
        <v>0</v>
      </c>
      <c r="Q3312" t="n">
        <v>0</v>
      </c>
      <c r="R3312" s="2" t="inlineStr"/>
    </row>
    <row r="3313" ht="15" customHeight="1">
      <c r="A3313" t="inlineStr">
        <is>
          <t>A 51063-2019</t>
        </is>
      </c>
      <c r="B3313" s="1" t="n">
        <v>43739</v>
      </c>
      <c r="C3313" s="1" t="n">
        <v>45227</v>
      </c>
      <c r="D3313" t="inlineStr">
        <is>
          <t>VÄSTRA GÖTALANDS LÄN</t>
        </is>
      </c>
      <c r="E3313" t="inlineStr">
        <is>
          <t>MARIESTAD</t>
        </is>
      </c>
      <c r="G3313" t="n">
        <v>11.3</v>
      </c>
      <c r="H3313" t="n">
        <v>0</v>
      </c>
      <c r="I3313" t="n">
        <v>0</v>
      </c>
      <c r="J3313" t="n">
        <v>0</v>
      </c>
      <c r="K3313" t="n">
        <v>0</v>
      </c>
      <c r="L3313" t="n">
        <v>0</v>
      </c>
      <c r="M3313" t="n">
        <v>0</v>
      </c>
      <c r="N3313" t="n">
        <v>0</v>
      </c>
      <c r="O3313" t="n">
        <v>0</v>
      </c>
      <c r="P3313" t="n">
        <v>0</v>
      </c>
      <c r="Q3313" t="n">
        <v>0</v>
      </c>
      <c r="R3313" s="2" t="inlineStr"/>
    </row>
    <row r="3314" ht="15" customHeight="1">
      <c r="A3314" t="inlineStr">
        <is>
          <t>A 51148-2019</t>
        </is>
      </c>
      <c r="B3314" s="1" t="n">
        <v>43739</v>
      </c>
      <c r="C3314" s="1" t="n">
        <v>45227</v>
      </c>
      <c r="D3314" t="inlineStr">
        <is>
          <t>VÄSTRA GÖTALANDS LÄN</t>
        </is>
      </c>
      <c r="E3314" t="inlineStr">
        <is>
          <t>BENGTSFORS</t>
        </is>
      </c>
      <c r="G3314" t="n">
        <v>2.4</v>
      </c>
      <c r="H3314" t="n">
        <v>0</v>
      </c>
      <c r="I3314" t="n">
        <v>0</v>
      </c>
      <c r="J3314" t="n">
        <v>0</v>
      </c>
      <c r="K3314" t="n">
        <v>0</v>
      </c>
      <c r="L3314" t="n">
        <v>0</v>
      </c>
      <c r="M3314" t="n">
        <v>0</v>
      </c>
      <c r="N3314" t="n">
        <v>0</v>
      </c>
      <c r="O3314" t="n">
        <v>0</v>
      </c>
      <c r="P3314" t="n">
        <v>0</v>
      </c>
      <c r="Q3314" t="n">
        <v>0</v>
      </c>
      <c r="R3314" s="2" t="inlineStr"/>
    </row>
    <row r="3315" ht="15" customHeight="1">
      <c r="A3315" t="inlineStr">
        <is>
          <t>A 51175-2019</t>
        </is>
      </c>
      <c r="B3315" s="1" t="n">
        <v>43739</v>
      </c>
      <c r="C3315" s="1" t="n">
        <v>45227</v>
      </c>
      <c r="D3315" t="inlineStr">
        <is>
          <t>VÄSTRA GÖTALANDS LÄN</t>
        </is>
      </c>
      <c r="E3315" t="inlineStr">
        <is>
          <t>TIDAHOLM</t>
        </is>
      </c>
      <c r="G3315" t="n">
        <v>12.2</v>
      </c>
      <c r="H3315" t="n">
        <v>0</v>
      </c>
      <c r="I3315" t="n">
        <v>0</v>
      </c>
      <c r="J3315" t="n">
        <v>0</v>
      </c>
      <c r="K3315" t="n">
        <v>0</v>
      </c>
      <c r="L3315" t="n">
        <v>0</v>
      </c>
      <c r="M3315" t="n">
        <v>0</v>
      </c>
      <c r="N3315" t="n">
        <v>0</v>
      </c>
      <c r="O3315" t="n">
        <v>0</v>
      </c>
      <c r="P3315" t="n">
        <v>0</v>
      </c>
      <c r="Q3315" t="n">
        <v>0</v>
      </c>
      <c r="R3315" s="2" t="inlineStr"/>
    </row>
    <row r="3316" ht="15" customHeight="1">
      <c r="A3316" t="inlineStr">
        <is>
          <t>A 51012-2019</t>
        </is>
      </c>
      <c r="B3316" s="1" t="n">
        <v>43739</v>
      </c>
      <c r="C3316" s="1" t="n">
        <v>45227</v>
      </c>
      <c r="D3316" t="inlineStr">
        <is>
          <t>VÄSTRA GÖTALANDS LÄN</t>
        </is>
      </c>
      <c r="E3316" t="inlineStr">
        <is>
          <t>SKARA</t>
        </is>
      </c>
      <c r="F3316" t="inlineStr">
        <is>
          <t>Sveaskog</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51312-2019</t>
        </is>
      </c>
      <c r="B3317" s="1" t="n">
        <v>43739</v>
      </c>
      <c r="C3317" s="1" t="n">
        <v>45227</v>
      </c>
      <c r="D3317" t="inlineStr">
        <is>
          <t>VÄSTRA GÖTALANDS LÄN</t>
        </is>
      </c>
      <c r="E3317" t="inlineStr">
        <is>
          <t>ULRICEHAMN</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51014-2019</t>
        </is>
      </c>
      <c r="B3318" s="1" t="n">
        <v>43739</v>
      </c>
      <c r="C3318" s="1" t="n">
        <v>45227</v>
      </c>
      <c r="D3318" t="inlineStr">
        <is>
          <t>VÄSTRA GÖTALANDS LÄN</t>
        </is>
      </c>
      <c r="E3318" t="inlineStr">
        <is>
          <t>SKARA</t>
        </is>
      </c>
      <c r="F3318" t="inlineStr">
        <is>
          <t>Sveaskog</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51157-2019</t>
        </is>
      </c>
      <c r="B3319" s="1" t="n">
        <v>43739</v>
      </c>
      <c r="C3319" s="1" t="n">
        <v>45227</v>
      </c>
      <c r="D3319" t="inlineStr">
        <is>
          <t>VÄSTRA GÖTALANDS LÄN</t>
        </is>
      </c>
      <c r="E3319" t="inlineStr">
        <is>
          <t>TROLLHÄTTAN</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51181-2019</t>
        </is>
      </c>
      <c r="B3320" s="1" t="n">
        <v>43739</v>
      </c>
      <c r="C3320" s="1" t="n">
        <v>45227</v>
      </c>
      <c r="D3320" t="inlineStr">
        <is>
          <t>VÄSTRA GÖTALANDS LÄN</t>
        </is>
      </c>
      <c r="E3320" t="inlineStr">
        <is>
          <t>STRÖMSTAD</t>
        </is>
      </c>
      <c r="G3320" t="n">
        <v>8.5</v>
      </c>
      <c r="H3320" t="n">
        <v>0</v>
      </c>
      <c r="I3320" t="n">
        <v>0</v>
      </c>
      <c r="J3320" t="n">
        <v>0</v>
      </c>
      <c r="K3320" t="n">
        <v>0</v>
      </c>
      <c r="L3320" t="n">
        <v>0</v>
      </c>
      <c r="M3320" t="n">
        <v>0</v>
      </c>
      <c r="N3320" t="n">
        <v>0</v>
      </c>
      <c r="O3320" t="n">
        <v>0</v>
      </c>
      <c r="P3320" t="n">
        <v>0</v>
      </c>
      <c r="Q3320" t="n">
        <v>0</v>
      </c>
      <c r="R3320" s="2" t="inlineStr"/>
    </row>
    <row r="3321" ht="15" customHeight="1">
      <c r="A3321" t="inlineStr">
        <is>
          <t>A 51218-2019</t>
        </is>
      </c>
      <c r="B3321" s="1" t="n">
        <v>43739</v>
      </c>
      <c r="C3321" s="1" t="n">
        <v>45227</v>
      </c>
      <c r="D3321" t="inlineStr">
        <is>
          <t>VÄSTRA GÖTALANDS LÄN</t>
        </is>
      </c>
      <c r="E3321" t="inlineStr">
        <is>
          <t>ULRICEHAMN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52759-2019</t>
        </is>
      </c>
      <c r="B3322" s="1" t="n">
        <v>43739</v>
      </c>
      <c r="C3322" s="1" t="n">
        <v>45227</v>
      </c>
      <c r="D3322" t="inlineStr">
        <is>
          <t>VÄSTRA GÖTALANDS LÄN</t>
        </is>
      </c>
      <c r="E3322" t="inlineStr">
        <is>
          <t>TRANEMO</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52771-2019</t>
        </is>
      </c>
      <c r="B3323" s="1" t="n">
        <v>43739</v>
      </c>
      <c r="C3323" s="1" t="n">
        <v>45227</v>
      </c>
      <c r="D3323" t="inlineStr">
        <is>
          <t>VÄSTRA GÖTALANDS LÄN</t>
        </is>
      </c>
      <c r="E3323" t="inlineStr">
        <is>
          <t>VARA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51412-2019</t>
        </is>
      </c>
      <c r="B3324" s="1" t="n">
        <v>43740</v>
      </c>
      <c r="C3324" s="1" t="n">
        <v>45227</v>
      </c>
      <c r="D3324" t="inlineStr">
        <is>
          <t>VÄSTRA GÖTALANDS LÄN</t>
        </is>
      </c>
      <c r="E3324" t="inlineStr">
        <is>
          <t>TRANEMO</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51462-2019</t>
        </is>
      </c>
      <c r="B3325" s="1" t="n">
        <v>43740</v>
      </c>
      <c r="C3325" s="1" t="n">
        <v>45227</v>
      </c>
      <c r="D3325" t="inlineStr">
        <is>
          <t>VÄSTRA GÖTALANDS LÄN</t>
        </is>
      </c>
      <c r="E3325" t="inlineStr">
        <is>
          <t>MARIESTAD</t>
        </is>
      </c>
      <c r="F3325" t="inlineStr">
        <is>
          <t>Kommuner</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51477-2019</t>
        </is>
      </c>
      <c r="B3326" s="1" t="n">
        <v>43740</v>
      </c>
      <c r="C3326" s="1" t="n">
        <v>45227</v>
      </c>
      <c r="D3326" t="inlineStr">
        <is>
          <t>VÄSTRA GÖTALANDS LÄN</t>
        </is>
      </c>
      <c r="E3326" t="inlineStr">
        <is>
          <t>MARIESTAD</t>
        </is>
      </c>
      <c r="F3326" t="inlineStr">
        <is>
          <t>Kommuner</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51554-2019</t>
        </is>
      </c>
      <c r="B3327" s="1" t="n">
        <v>43740</v>
      </c>
      <c r="C3327" s="1" t="n">
        <v>45227</v>
      </c>
      <c r="D3327" t="inlineStr">
        <is>
          <t>VÄSTRA GÖTALANDS LÄN</t>
        </is>
      </c>
      <c r="E3327" t="inlineStr">
        <is>
          <t>TIDAHOLM</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51591-2019</t>
        </is>
      </c>
      <c r="B3328" s="1" t="n">
        <v>43740</v>
      </c>
      <c r="C3328" s="1" t="n">
        <v>45227</v>
      </c>
      <c r="D3328" t="inlineStr">
        <is>
          <t>VÄSTRA GÖTALANDS LÄN</t>
        </is>
      </c>
      <c r="E3328" t="inlineStr">
        <is>
          <t>DALS-ED</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53137-2019</t>
        </is>
      </c>
      <c r="B3329" s="1" t="n">
        <v>43740</v>
      </c>
      <c r="C3329" s="1" t="n">
        <v>45227</v>
      </c>
      <c r="D3329" t="inlineStr">
        <is>
          <t>VÄSTRA GÖTALANDS LÄN</t>
        </is>
      </c>
      <c r="E3329" t="inlineStr">
        <is>
          <t>HÄRRYDA</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51418-2019</t>
        </is>
      </c>
      <c r="B3330" s="1" t="n">
        <v>43740</v>
      </c>
      <c r="C3330" s="1" t="n">
        <v>45227</v>
      </c>
      <c r="D3330" t="inlineStr">
        <is>
          <t>VÄSTRA GÖTALANDS LÄN</t>
        </is>
      </c>
      <c r="E3330" t="inlineStr">
        <is>
          <t>MARIESTAD</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51453-2019</t>
        </is>
      </c>
      <c r="B3331" s="1" t="n">
        <v>43740</v>
      </c>
      <c r="C3331" s="1" t="n">
        <v>45227</v>
      </c>
      <c r="D3331" t="inlineStr">
        <is>
          <t>VÄSTRA GÖTALANDS LÄN</t>
        </is>
      </c>
      <c r="E3331" t="inlineStr">
        <is>
          <t>BORÅS</t>
        </is>
      </c>
      <c r="G3331" t="n">
        <v>1.8</v>
      </c>
      <c r="H3331" t="n">
        <v>0</v>
      </c>
      <c r="I3331" t="n">
        <v>0</v>
      </c>
      <c r="J3331" t="n">
        <v>0</v>
      </c>
      <c r="K3331" t="n">
        <v>0</v>
      </c>
      <c r="L3331" t="n">
        <v>0</v>
      </c>
      <c r="M3331" t="n">
        <v>0</v>
      </c>
      <c r="N3331" t="n">
        <v>0</v>
      </c>
      <c r="O3331" t="n">
        <v>0</v>
      </c>
      <c r="P3331" t="n">
        <v>0</v>
      </c>
      <c r="Q3331" t="n">
        <v>0</v>
      </c>
      <c r="R3331" s="2" t="inlineStr"/>
    </row>
    <row r="3332" ht="15" customHeight="1">
      <c r="A3332" t="inlineStr">
        <is>
          <t>A 51472-2019</t>
        </is>
      </c>
      <c r="B3332" s="1" t="n">
        <v>43740</v>
      </c>
      <c r="C3332" s="1" t="n">
        <v>45227</v>
      </c>
      <c r="D3332" t="inlineStr">
        <is>
          <t>VÄSTRA GÖTALANDS LÄN</t>
        </is>
      </c>
      <c r="E3332" t="inlineStr">
        <is>
          <t>MARIESTAD</t>
        </is>
      </c>
      <c r="F3332" t="inlineStr">
        <is>
          <t>Kommuner</t>
        </is>
      </c>
      <c r="G3332" t="n">
        <v>1</v>
      </c>
      <c r="H3332" t="n">
        <v>0</v>
      </c>
      <c r="I3332" t="n">
        <v>0</v>
      </c>
      <c r="J3332" t="n">
        <v>0</v>
      </c>
      <c r="K3332" t="n">
        <v>0</v>
      </c>
      <c r="L3332" t="n">
        <v>0</v>
      </c>
      <c r="M3332" t="n">
        <v>0</v>
      </c>
      <c r="N3332" t="n">
        <v>0</v>
      </c>
      <c r="O3332" t="n">
        <v>0</v>
      </c>
      <c r="P3332" t="n">
        <v>0</v>
      </c>
      <c r="Q3332" t="n">
        <v>0</v>
      </c>
      <c r="R3332" s="2" t="inlineStr"/>
    </row>
    <row r="3333" ht="15" customHeight="1">
      <c r="A3333" t="inlineStr">
        <is>
          <t>A 52888-2019</t>
        </is>
      </c>
      <c r="B3333" s="1" t="n">
        <v>43740</v>
      </c>
      <c r="C3333" s="1" t="n">
        <v>45227</v>
      </c>
      <c r="D3333" t="inlineStr">
        <is>
          <t>VÄSTRA GÖTALANDS LÄN</t>
        </is>
      </c>
      <c r="E3333" t="inlineStr">
        <is>
          <t>SKÖVDE</t>
        </is>
      </c>
      <c r="F3333" t="inlineStr">
        <is>
          <t>Kyrkan</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51434-2019</t>
        </is>
      </c>
      <c r="B3334" s="1" t="n">
        <v>43740</v>
      </c>
      <c r="C3334" s="1" t="n">
        <v>45227</v>
      </c>
      <c r="D3334" t="inlineStr">
        <is>
          <t>VÄSTRA GÖTALANDS LÄN</t>
        </is>
      </c>
      <c r="E3334" t="inlineStr">
        <is>
          <t>TRANEMO</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51447-2019</t>
        </is>
      </c>
      <c r="B3335" s="1" t="n">
        <v>43740</v>
      </c>
      <c r="C3335" s="1" t="n">
        <v>45227</v>
      </c>
      <c r="D3335" t="inlineStr">
        <is>
          <t>VÄSTRA GÖTALANDS LÄN</t>
        </is>
      </c>
      <c r="E3335" t="inlineStr">
        <is>
          <t>KARLSBORG</t>
        </is>
      </c>
      <c r="G3335" t="n">
        <v>1.1</v>
      </c>
      <c r="H3335" t="n">
        <v>0</v>
      </c>
      <c r="I3335" t="n">
        <v>0</v>
      </c>
      <c r="J3335" t="n">
        <v>0</v>
      </c>
      <c r="K3335" t="n">
        <v>0</v>
      </c>
      <c r="L3335" t="n">
        <v>0</v>
      </c>
      <c r="M3335" t="n">
        <v>0</v>
      </c>
      <c r="N3335" t="n">
        <v>0</v>
      </c>
      <c r="O3335" t="n">
        <v>0</v>
      </c>
      <c r="P3335" t="n">
        <v>0</v>
      </c>
      <c r="Q3335" t="n">
        <v>0</v>
      </c>
      <c r="R3335" s="2" t="inlineStr"/>
    </row>
    <row r="3336" ht="15" customHeight="1">
      <c r="A3336" t="inlineStr">
        <is>
          <t>A 51832-2019</t>
        </is>
      </c>
      <c r="B3336" s="1" t="n">
        <v>43741</v>
      </c>
      <c r="C3336" s="1" t="n">
        <v>45227</v>
      </c>
      <c r="D3336" t="inlineStr">
        <is>
          <t>VÄSTRA GÖTALANDS LÄN</t>
        </is>
      </c>
      <c r="E3336" t="inlineStr">
        <is>
          <t>SKARA</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51920-2019</t>
        </is>
      </c>
      <c r="B3337" s="1" t="n">
        <v>43741</v>
      </c>
      <c r="C3337" s="1" t="n">
        <v>45227</v>
      </c>
      <c r="D3337" t="inlineStr">
        <is>
          <t>VÄSTRA GÖTALANDS LÄN</t>
        </is>
      </c>
      <c r="E3337" t="inlineStr">
        <is>
          <t>MARIESTAD</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53697-2019</t>
        </is>
      </c>
      <c r="B3338" s="1" t="n">
        <v>43741</v>
      </c>
      <c r="C3338" s="1" t="n">
        <v>45227</v>
      </c>
      <c r="D3338" t="inlineStr">
        <is>
          <t>VÄSTRA GÖTALANDS LÄN</t>
        </is>
      </c>
      <c r="E3338" t="inlineStr">
        <is>
          <t>DALS-ED</t>
        </is>
      </c>
      <c r="G3338" t="n">
        <v>6.8</v>
      </c>
      <c r="H3338" t="n">
        <v>0</v>
      </c>
      <c r="I3338" t="n">
        <v>0</v>
      </c>
      <c r="J3338" t="n">
        <v>0</v>
      </c>
      <c r="K3338" t="n">
        <v>0</v>
      </c>
      <c r="L3338" t="n">
        <v>0</v>
      </c>
      <c r="M3338" t="n">
        <v>0</v>
      </c>
      <c r="N3338" t="n">
        <v>0</v>
      </c>
      <c r="O3338" t="n">
        <v>0</v>
      </c>
      <c r="P3338" t="n">
        <v>0</v>
      </c>
      <c r="Q3338" t="n">
        <v>0</v>
      </c>
      <c r="R3338" s="2" t="inlineStr"/>
    </row>
    <row r="3339" ht="15" customHeight="1">
      <c r="A3339" t="inlineStr">
        <is>
          <t>A 51776-2019</t>
        </is>
      </c>
      <c r="B3339" s="1" t="n">
        <v>43741</v>
      </c>
      <c r="C3339" s="1" t="n">
        <v>45227</v>
      </c>
      <c r="D3339" t="inlineStr">
        <is>
          <t>VÄSTRA GÖTALANDS LÄN</t>
        </is>
      </c>
      <c r="E3339" t="inlineStr">
        <is>
          <t>ULRICEHAMN</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53649-2019</t>
        </is>
      </c>
      <c r="B3340" s="1" t="n">
        <v>43741</v>
      </c>
      <c r="C3340" s="1" t="n">
        <v>45227</v>
      </c>
      <c r="D3340" t="inlineStr">
        <is>
          <t>VÄSTRA GÖTALANDS LÄN</t>
        </is>
      </c>
      <c r="E3340" t="inlineStr">
        <is>
          <t>TÖREBODA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51845-2019</t>
        </is>
      </c>
      <c r="B3341" s="1" t="n">
        <v>43741</v>
      </c>
      <c r="C3341" s="1" t="n">
        <v>45227</v>
      </c>
      <c r="D3341" t="inlineStr">
        <is>
          <t>VÄSTRA GÖTALANDS LÄN</t>
        </is>
      </c>
      <c r="E3341" t="inlineStr">
        <is>
          <t>TIDAHOLM</t>
        </is>
      </c>
      <c r="F3341" t="inlineStr">
        <is>
          <t>Kommuner</t>
        </is>
      </c>
      <c r="G3341" t="n">
        <v>7.4</v>
      </c>
      <c r="H3341" t="n">
        <v>0</v>
      </c>
      <c r="I3341" t="n">
        <v>0</v>
      </c>
      <c r="J3341" t="n">
        <v>0</v>
      </c>
      <c r="K3341" t="n">
        <v>0</v>
      </c>
      <c r="L3341" t="n">
        <v>0</v>
      </c>
      <c r="M3341" t="n">
        <v>0</v>
      </c>
      <c r="N3341" t="n">
        <v>0</v>
      </c>
      <c r="O3341" t="n">
        <v>0</v>
      </c>
      <c r="P3341" t="n">
        <v>0</v>
      </c>
      <c r="Q3341" t="n">
        <v>0</v>
      </c>
      <c r="R3341" s="2" t="inlineStr"/>
    </row>
    <row r="3342" ht="15" customHeight="1">
      <c r="A3342" t="inlineStr">
        <is>
          <t>A 51919-2019</t>
        </is>
      </c>
      <c r="B3342" s="1" t="n">
        <v>43741</v>
      </c>
      <c r="C3342" s="1" t="n">
        <v>45227</v>
      </c>
      <c r="D3342" t="inlineStr">
        <is>
          <t>VÄSTRA GÖTALANDS LÄN</t>
        </is>
      </c>
      <c r="E3342" t="inlineStr">
        <is>
          <t>MARIESTAD</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52064-2019</t>
        </is>
      </c>
      <c r="B3343" s="1" t="n">
        <v>43742</v>
      </c>
      <c r="C3343" s="1" t="n">
        <v>45227</v>
      </c>
      <c r="D3343" t="inlineStr">
        <is>
          <t>VÄSTRA GÖTALANDS LÄN</t>
        </is>
      </c>
      <c r="E3343" t="inlineStr">
        <is>
          <t>TÖREBODA</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52062-2019</t>
        </is>
      </c>
      <c r="B3344" s="1" t="n">
        <v>43742</v>
      </c>
      <c r="C3344" s="1" t="n">
        <v>45227</v>
      </c>
      <c r="D3344" t="inlineStr">
        <is>
          <t>VÄSTRA GÖTALANDS LÄN</t>
        </is>
      </c>
      <c r="E3344" t="inlineStr">
        <is>
          <t>TÖREBODA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52060-2019</t>
        </is>
      </c>
      <c r="B3345" s="1" t="n">
        <v>43742</v>
      </c>
      <c r="C3345" s="1" t="n">
        <v>45227</v>
      </c>
      <c r="D3345" t="inlineStr">
        <is>
          <t>VÄSTRA GÖTALANDS LÄN</t>
        </is>
      </c>
      <c r="E3345" t="inlineStr">
        <is>
          <t>ALINGSÅS</t>
        </is>
      </c>
      <c r="G3345" t="n">
        <v>5.8</v>
      </c>
      <c r="H3345" t="n">
        <v>0</v>
      </c>
      <c r="I3345" t="n">
        <v>0</v>
      </c>
      <c r="J3345" t="n">
        <v>0</v>
      </c>
      <c r="K3345" t="n">
        <v>0</v>
      </c>
      <c r="L3345" t="n">
        <v>0</v>
      </c>
      <c r="M3345" t="n">
        <v>0</v>
      </c>
      <c r="N3345" t="n">
        <v>0</v>
      </c>
      <c r="O3345" t="n">
        <v>0</v>
      </c>
      <c r="P3345" t="n">
        <v>0</v>
      </c>
      <c r="Q3345" t="n">
        <v>0</v>
      </c>
      <c r="R3345" s="2" t="inlineStr"/>
    </row>
    <row r="3346" ht="15" customHeight="1">
      <c r="A3346" t="inlineStr">
        <is>
          <t>A 52112-2019</t>
        </is>
      </c>
      <c r="B3346" s="1" t="n">
        <v>43742</v>
      </c>
      <c r="C3346" s="1" t="n">
        <v>45227</v>
      </c>
      <c r="D3346" t="inlineStr">
        <is>
          <t>VÄSTRA GÖTALANDS LÄN</t>
        </is>
      </c>
      <c r="E3346" t="inlineStr">
        <is>
          <t>BENGTSFORS</t>
        </is>
      </c>
      <c r="G3346" t="n">
        <v>5.1</v>
      </c>
      <c r="H3346" t="n">
        <v>0</v>
      </c>
      <c r="I3346" t="n">
        <v>0</v>
      </c>
      <c r="J3346" t="n">
        <v>0</v>
      </c>
      <c r="K3346" t="n">
        <v>0</v>
      </c>
      <c r="L3346" t="n">
        <v>0</v>
      </c>
      <c r="M3346" t="n">
        <v>0</v>
      </c>
      <c r="N3346" t="n">
        <v>0</v>
      </c>
      <c r="O3346" t="n">
        <v>0</v>
      </c>
      <c r="P3346" t="n">
        <v>0</v>
      </c>
      <c r="Q3346" t="n">
        <v>0</v>
      </c>
      <c r="R3346" s="2" t="inlineStr"/>
    </row>
    <row r="3347" ht="15" customHeight="1">
      <c r="A3347" t="inlineStr">
        <is>
          <t>A 52189-2019</t>
        </is>
      </c>
      <c r="B3347" s="1" t="n">
        <v>43742</v>
      </c>
      <c r="C3347" s="1" t="n">
        <v>45227</v>
      </c>
      <c r="D3347" t="inlineStr">
        <is>
          <t>VÄSTRA GÖTALANDS LÄN</t>
        </is>
      </c>
      <c r="E3347" t="inlineStr">
        <is>
          <t>TIDAHOLM</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52272-2019</t>
        </is>
      </c>
      <c r="B3348" s="1" t="n">
        <v>43743</v>
      </c>
      <c r="C3348" s="1" t="n">
        <v>45227</v>
      </c>
      <c r="D3348" t="inlineStr">
        <is>
          <t>VÄSTRA GÖTALANDS LÄN</t>
        </is>
      </c>
      <c r="E3348" t="inlineStr">
        <is>
          <t>SKÖVDE</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52277-2019</t>
        </is>
      </c>
      <c r="B3349" s="1" t="n">
        <v>43744</v>
      </c>
      <c r="C3349" s="1" t="n">
        <v>45227</v>
      </c>
      <c r="D3349" t="inlineStr">
        <is>
          <t>VÄSTRA GÖTALANDS LÄN</t>
        </is>
      </c>
      <c r="E3349" t="inlineStr">
        <is>
          <t>TROLLHÄTTAN</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54032-2019</t>
        </is>
      </c>
      <c r="B3350" s="1" t="n">
        <v>43745</v>
      </c>
      <c r="C3350" s="1" t="n">
        <v>45227</v>
      </c>
      <c r="D3350" t="inlineStr">
        <is>
          <t>VÄSTRA GÖTALANDS LÄN</t>
        </is>
      </c>
      <c r="E3350" t="inlineStr">
        <is>
          <t>ÅMÅL</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52565-2019</t>
        </is>
      </c>
      <c r="B3351" s="1" t="n">
        <v>43745</v>
      </c>
      <c r="C3351" s="1" t="n">
        <v>45227</v>
      </c>
      <c r="D3351" t="inlineStr">
        <is>
          <t>VÄSTRA GÖTALANDS LÄN</t>
        </is>
      </c>
      <c r="E3351" t="inlineStr">
        <is>
          <t>TANUM</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54157-2019</t>
        </is>
      </c>
      <c r="B3352" s="1" t="n">
        <v>43745</v>
      </c>
      <c r="C3352" s="1" t="n">
        <v>45227</v>
      </c>
      <c r="D3352" t="inlineStr">
        <is>
          <t>VÄSTRA GÖTALANDS LÄN</t>
        </is>
      </c>
      <c r="E3352" t="inlineStr">
        <is>
          <t>TANUM</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52321-2019</t>
        </is>
      </c>
      <c r="B3353" s="1" t="n">
        <v>43745</v>
      </c>
      <c r="C3353" s="1" t="n">
        <v>45227</v>
      </c>
      <c r="D3353" t="inlineStr">
        <is>
          <t>VÄSTRA GÖTALANDS LÄN</t>
        </is>
      </c>
      <c r="E3353" t="inlineStr">
        <is>
          <t>ULRICEHAMN</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52548-2019</t>
        </is>
      </c>
      <c r="B3354" s="1" t="n">
        <v>43745</v>
      </c>
      <c r="C3354" s="1" t="n">
        <v>45227</v>
      </c>
      <c r="D3354" t="inlineStr">
        <is>
          <t>VÄSTRA GÖTALANDS LÄN</t>
        </is>
      </c>
      <c r="E3354" t="inlineStr">
        <is>
          <t>SVENLJUNGA</t>
        </is>
      </c>
      <c r="G3354" t="n">
        <v>7.4</v>
      </c>
      <c r="H3354" t="n">
        <v>0</v>
      </c>
      <c r="I3354" t="n">
        <v>0</v>
      </c>
      <c r="J3354" t="n">
        <v>0</v>
      </c>
      <c r="K3354" t="n">
        <v>0</v>
      </c>
      <c r="L3354" t="n">
        <v>0</v>
      </c>
      <c r="M3354" t="n">
        <v>0</v>
      </c>
      <c r="N3354" t="n">
        <v>0</v>
      </c>
      <c r="O3354" t="n">
        <v>0</v>
      </c>
      <c r="P3354" t="n">
        <v>0</v>
      </c>
      <c r="Q3354" t="n">
        <v>0</v>
      </c>
      <c r="R3354" s="2" t="inlineStr"/>
    </row>
    <row r="3355" ht="15" customHeight="1">
      <c r="A3355" t="inlineStr">
        <is>
          <t>A 54161-2019</t>
        </is>
      </c>
      <c r="B3355" s="1" t="n">
        <v>43745</v>
      </c>
      <c r="C3355" s="1" t="n">
        <v>45227</v>
      </c>
      <c r="D3355" t="inlineStr">
        <is>
          <t>VÄSTRA GÖTALANDS LÄN</t>
        </is>
      </c>
      <c r="E3355" t="inlineStr">
        <is>
          <t>TANUM</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52916-2019</t>
        </is>
      </c>
      <c r="B3356" s="1" t="n">
        <v>43746</v>
      </c>
      <c r="C3356" s="1" t="n">
        <v>45227</v>
      </c>
      <c r="D3356" t="inlineStr">
        <is>
          <t>VÄSTRA GÖTALANDS LÄN</t>
        </is>
      </c>
      <c r="E3356" t="inlineStr">
        <is>
          <t>VÄNERSBORG</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52891-2019</t>
        </is>
      </c>
      <c r="B3357" s="1" t="n">
        <v>43746</v>
      </c>
      <c r="C3357" s="1" t="n">
        <v>45227</v>
      </c>
      <c r="D3357" t="inlineStr">
        <is>
          <t>VÄSTRA GÖTALANDS LÄN</t>
        </is>
      </c>
      <c r="E3357" t="inlineStr">
        <is>
          <t>ESSUNGA</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52911-2019</t>
        </is>
      </c>
      <c r="B3358" s="1" t="n">
        <v>43746</v>
      </c>
      <c r="C3358" s="1" t="n">
        <v>45227</v>
      </c>
      <c r="D3358" t="inlineStr">
        <is>
          <t>VÄSTRA GÖTALANDS LÄN</t>
        </is>
      </c>
      <c r="E3358" t="inlineStr">
        <is>
          <t>VÄNERSBORG</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52807-2019</t>
        </is>
      </c>
      <c r="B3359" s="1" t="n">
        <v>43746</v>
      </c>
      <c r="C3359" s="1" t="n">
        <v>45227</v>
      </c>
      <c r="D3359" t="inlineStr">
        <is>
          <t>VÄSTRA GÖTALANDS LÄN</t>
        </is>
      </c>
      <c r="E3359" t="inlineStr">
        <is>
          <t>VARA</t>
        </is>
      </c>
      <c r="F3359" t="inlineStr">
        <is>
          <t>Kyrkan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52899-2019</t>
        </is>
      </c>
      <c r="B3360" s="1" t="n">
        <v>43746</v>
      </c>
      <c r="C3360" s="1" t="n">
        <v>45227</v>
      </c>
      <c r="D3360" t="inlineStr">
        <is>
          <t>VÄSTRA GÖTALANDS LÄN</t>
        </is>
      </c>
      <c r="E3360" t="inlineStr">
        <is>
          <t>TROLLHÄTTAN</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52906-2019</t>
        </is>
      </c>
      <c r="B3361" s="1" t="n">
        <v>43746</v>
      </c>
      <c r="C3361" s="1" t="n">
        <v>45227</v>
      </c>
      <c r="D3361" t="inlineStr">
        <is>
          <t>VÄSTRA GÖTALANDS LÄN</t>
        </is>
      </c>
      <c r="E3361" t="inlineStr">
        <is>
          <t>VÅRGÅRDA</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52912-2019</t>
        </is>
      </c>
      <c r="B3362" s="1" t="n">
        <v>43746</v>
      </c>
      <c r="C3362" s="1" t="n">
        <v>45227</v>
      </c>
      <c r="D3362" t="inlineStr">
        <is>
          <t>VÄSTRA GÖTALANDS LÄN</t>
        </is>
      </c>
      <c r="E3362" t="inlineStr">
        <is>
          <t>VÄNERSBORG</t>
        </is>
      </c>
      <c r="G3362" t="n">
        <v>1.6</v>
      </c>
      <c r="H3362" t="n">
        <v>0</v>
      </c>
      <c r="I3362" t="n">
        <v>0</v>
      </c>
      <c r="J3362" t="n">
        <v>0</v>
      </c>
      <c r="K3362" t="n">
        <v>0</v>
      </c>
      <c r="L3362" t="n">
        <v>0</v>
      </c>
      <c r="M3362" t="n">
        <v>0</v>
      </c>
      <c r="N3362" t="n">
        <v>0</v>
      </c>
      <c r="O3362" t="n">
        <v>0</v>
      </c>
      <c r="P3362" t="n">
        <v>0</v>
      </c>
      <c r="Q3362" t="n">
        <v>0</v>
      </c>
      <c r="R3362" s="2" t="inlineStr"/>
    </row>
    <row r="3363" ht="15" customHeight="1">
      <c r="A3363" t="inlineStr">
        <is>
          <t>A 53025-2019</t>
        </is>
      </c>
      <c r="B3363" s="1" t="n">
        <v>43747</v>
      </c>
      <c r="C3363" s="1" t="n">
        <v>45227</v>
      </c>
      <c r="D3363" t="inlineStr">
        <is>
          <t>VÄSTRA GÖTALANDS LÄN</t>
        </is>
      </c>
      <c r="E3363" t="inlineStr">
        <is>
          <t>SKÖVDE</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53106-2019</t>
        </is>
      </c>
      <c r="B3364" s="1" t="n">
        <v>43747</v>
      </c>
      <c r="C3364" s="1" t="n">
        <v>45227</v>
      </c>
      <c r="D3364" t="inlineStr">
        <is>
          <t>VÄSTRA GÖTALANDS LÄN</t>
        </is>
      </c>
      <c r="E3364" t="inlineStr">
        <is>
          <t>TIBRO</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53149-2019</t>
        </is>
      </c>
      <c r="B3365" s="1" t="n">
        <v>43747</v>
      </c>
      <c r="C3365" s="1" t="n">
        <v>45227</v>
      </c>
      <c r="D3365" t="inlineStr">
        <is>
          <t>VÄSTRA GÖTALANDS LÄN</t>
        </is>
      </c>
      <c r="E3365" t="inlineStr">
        <is>
          <t>SKÖVDE</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54538-2019</t>
        </is>
      </c>
      <c r="B3366" s="1" t="n">
        <v>43747</v>
      </c>
      <c r="C3366" s="1" t="n">
        <v>45227</v>
      </c>
      <c r="D3366" t="inlineStr">
        <is>
          <t>VÄSTRA GÖTALANDS LÄN</t>
        </is>
      </c>
      <c r="E3366" t="inlineStr">
        <is>
          <t>ÅMÅL</t>
        </is>
      </c>
      <c r="G3366" t="n">
        <v>7.3</v>
      </c>
      <c r="H3366" t="n">
        <v>0</v>
      </c>
      <c r="I3366" t="n">
        <v>0</v>
      </c>
      <c r="J3366" t="n">
        <v>0</v>
      </c>
      <c r="K3366" t="n">
        <v>0</v>
      </c>
      <c r="L3366" t="n">
        <v>0</v>
      </c>
      <c r="M3366" t="n">
        <v>0</v>
      </c>
      <c r="N3366" t="n">
        <v>0</v>
      </c>
      <c r="O3366" t="n">
        <v>0</v>
      </c>
      <c r="P3366" t="n">
        <v>0</v>
      </c>
      <c r="Q3366" t="n">
        <v>0</v>
      </c>
      <c r="R3366" s="2" t="inlineStr"/>
    </row>
    <row r="3367" ht="15" customHeight="1">
      <c r="A3367" t="inlineStr">
        <is>
          <t>A 53042-2019</t>
        </is>
      </c>
      <c r="B3367" s="1" t="n">
        <v>43747</v>
      </c>
      <c r="C3367" s="1" t="n">
        <v>45227</v>
      </c>
      <c r="D3367" t="inlineStr">
        <is>
          <t>VÄSTRA GÖTALANDS LÄN</t>
        </is>
      </c>
      <c r="E3367" t="inlineStr">
        <is>
          <t>TRANEMO</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54545-2019</t>
        </is>
      </c>
      <c r="B3368" s="1" t="n">
        <v>43747</v>
      </c>
      <c r="C3368" s="1" t="n">
        <v>45227</v>
      </c>
      <c r="D3368" t="inlineStr">
        <is>
          <t>VÄSTRA GÖTALANDS LÄN</t>
        </is>
      </c>
      <c r="E3368" t="inlineStr">
        <is>
          <t>ÅMÅL</t>
        </is>
      </c>
      <c r="G3368" t="n">
        <v>6.3</v>
      </c>
      <c r="H3368" t="n">
        <v>0</v>
      </c>
      <c r="I3368" t="n">
        <v>0</v>
      </c>
      <c r="J3368" t="n">
        <v>0</v>
      </c>
      <c r="K3368" t="n">
        <v>0</v>
      </c>
      <c r="L3368" t="n">
        <v>0</v>
      </c>
      <c r="M3368" t="n">
        <v>0</v>
      </c>
      <c r="N3368" t="n">
        <v>0</v>
      </c>
      <c r="O3368" t="n">
        <v>0</v>
      </c>
      <c r="P3368" t="n">
        <v>0</v>
      </c>
      <c r="Q3368" t="n">
        <v>0</v>
      </c>
      <c r="R3368" s="2" t="inlineStr"/>
    </row>
    <row r="3369" ht="15" customHeight="1">
      <c r="A3369" t="inlineStr">
        <is>
          <t>A 53043-2019</t>
        </is>
      </c>
      <c r="B3369" s="1" t="n">
        <v>43747</v>
      </c>
      <c r="C3369" s="1" t="n">
        <v>45227</v>
      </c>
      <c r="D3369" t="inlineStr">
        <is>
          <t>VÄSTRA GÖTALANDS LÄN</t>
        </is>
      </c>
      <c r="E3369" t="inlineStr">
        <is>
          <t>DALS-ED</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53091-2019</t>
        </is>
      </c>
      <c r="B3370" s="1" t="n">
        <v>43747</v>
      </c>
      <c r="C3370" s="1" t="n">
        <v>45227</v>
      </c>
      <c r="D3370" t="inlineStr">
        <is>
          <t>VÄSTRA GÖTALANDS LÄN</t>
        </is>
      </c>
      <c r="E3370" t="inlineStr">
        <is>
          <t>SKARA</t>
        </is>
      </c>
      <c r="G3370" t="n">
        <v>2.6</v>
      </c>
      <c r="H3370" t="n">
        <v>0</v>
      </c>
      <c r="I3370" t="n">
        <v>0</v>
      </c>
      <c r="J3370" t="n">
        <v>0</v>
      </c>
      <c r="K3370" t="n">
        <v>0</v>
      </c>
      <c r="L3370" t="n">
        <v>0</v>
      </c>
      <c r="M3370" t="n">
        <v>0</v>
      </c>
      <c r="N3370" t="n">
        <v>0</v>
      </c>
      <c r="O3370" t="n">
        <v>0</v>
      </c>
      <c r="P3370" t="n">
        <v>0</v>
      </c>
      <c r="Q3370" t="n">
        <v>0</v>
      </c>
      <c r="R3370" s="2" t="inlineStr"/>
    </row>
    <row r="3371" ht="15" customHeight="1">
      <c r="A3371" t="inlineStr">
        <is>
          <t>A 53102-2019</t>
        </is>
      </c>
      <c r="B3371" s="1" t="n">
        <v>43747</v>
      </c>
      <c r="C3371" s="1" t="n">
        <v>45227</v>
      </c>
      <c r="D3371" t="inlineStr">
        <is>
          <t>VÄSTRA GÖTALANDS LÄN</t>
        </is>
      </c>
      <c r="E3371" t="inlineStr">
        <is>
          <t>TIBRO</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53328-2019</t>
        </is>
      </c>
      <c r="B3372" s="1" t="n">
        <v>43748</v>
      </c>
      <c r="C3372" s="1" t="n">
        <v>45227</v>
      </c>
      <c r="D3372" t="inlineStr">
        <is>
          <t>VÄSTRA GÖTALANDS LÄN</t>
        </is>
      </c>
      <c r="E3372" t="inlineStr">
        <is>
          <t>GÖTENE</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53463-2019</t>
        </is>
      </c>
      <c r="B3373" s="1" t="n">
        <v>43748</v>
      </c>
      <c r="C3373" s="1" t="n">
        <v>45227</v>
      </c>
      <c r="D3373" t="inlineStr">
        <is>
          <t>VÄSTRA GÖTALANDS LÄN</t>
        </is>
      </c>
      <c r="E3373" t="inlineStr">
        <is>
          <t>FÄRGELANDA</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53259-2019</t>
        </is>
      </c>
      <c r="B3374" s="1" t="n">
        <v>43748</v>
      </c>
      <c r="C3374" s="1" t="n">
        <v>45227</v>
      </c>
      <c r="D3374" t="inlineStr">
        <is>
          <t>VÄSTRA GÖTALANDS LÄN</t>
        </is>
      </c>
      <c r="E3374" t="inlineStr">
        <is>
          <t>BOLLEBYGD</t>
        </is>
      </c>
      <c r="G3374" t="n">
        <v>5.5</v>
      </c>
      <c r="H3374" t="n">
        <v>0</v>
      </c>
      <c r="I3374" t="n">
        <v>0</v>
      </c>
      <c r="J3374" t="n">
        <v>0</v>
      </c>
      <c r="K3374" t="n">
        <v>0</v>
      </c>
      <c r="L3374" t="n">
        <v>0</v>
      </c>
      <c r="M3374" t="n">
        <v>0</v>
      </c>
      <c r="N3374" t="n">
        <v>0</v>
      </c>
      <c r="O3374" t="n">
        <v>0</v>
      </c>
      <c r="P3374" t="n">
        <v>0</v>
      </c>
      <c r="Q3374" t="n">
        <v>0</v>
      </c>
      <c r="R3374" s="2" t="inlineStr"/>
    </row>
    <row r="3375" ht="15" customHeight="1">
      <c r="A3375" t="inlineStr">
        <is>
          <t>A 54619-2019</t>
        </is>
      </c>
      <c r="B3375" s="1" t="n">
        <v>43748</v>
      </c>
      <c r="C3375" s="1" t="n">
        <v>45227</v>
      </c>
      <c r="D3375" t="inlineStr">
        <is>
          <t>VÄSTRA GÖTALANDS LÄN</t>
        </is>
      </c>
      <c r="E3375" t="inlineStr">
        <is>
          <t>TRANEMO</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54647-2019</t>
        </is>
      </c>
      <c r="B3376" s="1" t="n">
        <v>43748</v>
      </c>
      <c r="C3376" s="1" t="n">
        <v>45227</v>
      </c>
      <c r="D3376" t="inlineStr">
        <is>
          <t>VÄSTRA GÖTALANDS LÄN</t>
        </is>
      </c>
      <c r="E3376" t="inlineStr">
        <is>
          <t>KARLSBORG</t>
        </is>
      </c>
      <c r="G3376" t="n">
        <v>0.6</v>
      </c>
      <c r="H3376" t="n">
        <v>0</v>
      </c>
      <c r="I3376" t="n">
        <v>0</v>
      </c>
      <c r="J3376" t="n">
        <v>0</v>
      </c>
      <c r="K3376" t="n">
        <v>0</v>
      </c>
      <c r="L3376" t="n">
        <v>0</v>
      </c>
      <c r="M3376" t="n">
        <v>0</v>
      </c>
      <c r="N3376" t="n">
        <v>0</v>
      </c>
      <c r="O3376" t="n">
        <v>0</v>
      </c>
      <c r="P3376" t="n">
        <v>0</v>
      </c>
      <c r="Q3376" t="n">
        <v>0</v>
      </c>
      <c r="R3376" s="2" t="inlineStr"/>
    </row>
    <row r="3377" ht="15" customHeight="1">
      <c r="A3377" t="inlineStr">
        <is>
          <t>A 53267-2019</t>
        </is>
      </c>
      <c r="B3377" s="1" t="n">
        <v>43748</v>
      </c>
      <c r="C3377" s="1" t="n">
        <v>45227</v>
      </c>
      <c r="D3377" t="inlineStr">
        <is>
          <t>VÄSTRA GÖTALANDS LÄN</t>
        </is>
      </c>
      <c r="E3377" t="inlineStr">
        <is>
          <t>BORÅS</t>
        </is>
      </c>
      <c r="G3377" t="n">
        <v>9.5</v>
      </c>
      <c r="H3377" t="n">
        <v>0</v>
      </c>
      <c r="I3377" t="n">
        <v>0</v>
      </c>
      <c r="J3377" t="n">
        <v>0</v>
      </c>
      <c r="K3377" t="n">
        <v>0</v>
      </c>
      <c r="L3377" t="n">
        <v>0</v>
      </c>
      <c r="M3377" t="n">
        <v>0</v>
      </c>
      <c r="N3377" t="n">
        <v>0</v>
      </c>
      <c r="O3377" t="n">
        <v>0</v>
      </c>
      <c r="P3377" t="n">
        <v>0</v>
      </c>
      <c r="Q3377" t="n">
        <v>0</v>
      </c>
      <c r="R3377" s="2" t="inlineStr"/>
    </row>
    <row r="3378" ht="15" customHeight="1">
      <c r="A3378" t="inlineStr">
        <is>
          <t>A 53293-2019</t>
        </is>
      </c>
      <c r="B3378" s="1" t="n">
        <v>43748</v>
      </c>
      <c r="C3378" s="1" t="n">
        <v>45227</v>
      </c>
      <c r="D3378" t="inlineStr">
        <is>
          <t>VÄSTRA GÖTALANDS LÄN</t>
        </is>
      </c>
      <c r="E3378" t="inlineStr">
        <is>
          <t>ULRICEHAMN</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53512-2019</t>
        </is>
      </c>
      <c r="B3379" s="1" t="n">
        <v>43749</v>
      </c>
      <c r="C3379" s="1" t="n">
        <v>45227</v>
      </c>
      <c r="D3379" t="inlineStr">
        <is>
          <t>VÄSTRA GÖTALANDS LÄN</t>
        </is>
      </c>
      <c r="E3379" t="inlineStr">
        <is>
          <t>TANUM</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53577-2019</t>
        </is>
      </c>
      <c r="B3380" s="1" t="n">
        <v>43749</v>
      </c>
      <c r="C3380" s="1" t="n">
        <v>45227</v>
      </c>
      <c r="D3380" t="inlineStr">
        <is>
          <t>VÄSTRA GÖTALANDS LÄN</t>
        </is>
      </c>
      <c r="E3380" t="inlineStr">
        <is>
          <t>TANUM</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53808-2019</t>
        </is>
      </c>
      <c r="B3381" s="1" t="n">
        <v>43751</v>
      </c>
      <c r="C3381" s="1" t="n">
        <v>45227</v>
      </c>
      <c r="D3381" t="inlineStr">
        <is>
          <t>VÄSTRA GÖTALANDS LÄN</t>
        </is>
      </c>
      <c r="E3381" t="inlineStr">
        <is>
          <t>VÄNERSBORG</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55149-2019</t>
        </is>
      </c>
      <c r="B3382" s="1" t="n">
        <v>43752</v>
      </c>
      <c r="C3382" s="1" t="n">
        <v>45227</v>
      </c>
      <c r="D3382" t="inlineStr">
        <is>
          <t>VÄSTRA GÖTALANDS LÄN</t>
        </is>
      </c>
      <c r="E3382" t="inlineStr">
        <is>
          <t>LYSEKIL</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53997-2019</t>
        </is>
      </c>
      <c r="B3383" s="1" t="n">
        <v>43752</v>
      </c>
      <c r="C3383" s="1" t="n">
        <v>45227</v>
      </c>
      <c r="D3383" t="inlineStr">
        <is>
          <t>VÄSTRA GÖTALANDS LÄN</t>
        </is>
      </c>
      <c r="E3383" t="inlineStr">
        <is>
          <t>MARK</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54109-2019</t>
        </is>
      </c>
      <c r="B3384" s="1" t="n">
        <v>43752</v>
      </c>
      <c r="C3384" s="1" t="n">
        <v>45227</v>
      </c>
      <c r="D3384" t="inlineStr">
        <is>
          <t>VÄSTRA GÖTALANDS LÄN</t>
        </is>
      </c>
      <c r="E3384" t="inlineStr">
        <is>
          <t>TIDAHOLM</t>
        </is>
      </c>
      <c r="G3384" t="n">
        <v>5.1</v>
      </c>
      <c r="H3384" t="n">
        <v>0</v>
      </c>
      <c r="I3384" t="n">
        <v>0</v>
      </c>
      <c r="J3384" t="n">
        <v>0</v>
      </c>
      <c r="K3384" t="n">
        <v>0</v>
      </c>
      <c r="L3384" t="n">
        <v>0</v>
      </c>
      <c r="M3384" t="n">
        <v>0</v>
      </c>
      <c r="N3384" t="n">
        <v>0</v>
      </c>
      <c r="O3384" t="n">
        <v>0</v>
      </c>
      <c r="P3384" t="n">
        <v>0</v>
      </c>
      <c r="Q3384" t="n">
        <v>0</v>
      </c>
      <c r="R3384" s="2" t="inlineStr"/>
    </row>
    <row r="3385" ht="15" customHeight="1">
      <c r="A3385" t="inlineStr">
        <is>
          <t>A 55133-2019</t>
        </is>
      </c>
      <c r="B3385" s="1" t="n">
        <v>43752</v>
      </c>
      <c r="C3385" s="1" t="n">
        <v>45227</v>
      </c>
      <c r="D3385" t="inlineStr">
        <is>
          <t>VÄSTRA GÖTALANDS LÄN</t>
        </is>
      </c>
      <c r="E3385" t="inlineStr">
        <is>
          <t>BORÅS</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54230-2019</t>
        </is>
      </c>
      <c r="B3386" s="1" t="n">
        <v>43753</v>
      </c>
      <c r="C3386" s="1" t="n">
        <v>45227</v>
      </c>
      <c r="D3386" t="inlineStr">
        <is>
          <t>VÄSTRA GÖTALANDS LÄN</t>
        </is>
      </c>
      <c r="E3386" t="inlineStr">
        <is>
          <t>TÖREBODA</t>
        </is>
      </c>
      <c r="F3386" t="inlineStr">
        <is>
          <t>Sveaskog</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54299-2019</t>
        </is>
      </c>
      <c r="B3387" s="1" t="n">
        <v>43753</v>
      </c>
      <c r="C3387" s="1" t="n">
        <v>45227</v>
      </c>
      <c r="D3387" t="inlineStr">
        <is>
          <t>VÄSTRA GÖTALANDS LÄN</t>
        </is>
      </c>
      <c r="E3387" t="inlineStr">
        <is>
          <t>TJÖRN</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54487-2019</t>
        </is>
      </c>
      <c r="B3388" s="1" t="n">
        <v>43754</v>
      </c>
      <c r="C3388" s="1" t="n">
        <v>45227</v>
      </c>
      <c r="D3388" t="inlineStr">
        <is>
          <t>VÄSTRA GÖTALANDS LÄN</t>
        </is>
      </c>
      <c r="E3388" t="inlineStr">
        <is>
          <t>TROLLHÄTTAN</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54531-2019</t>
        </is>
      </c>
      <c r="B3389" s="1" t="n">
        <v>43754</v>
      </c>
      <c r="C3389" s="1" t="n">
        <v>45227</v>
      </c>
      <c r="D3389" t="inlineStr">
        <is>
          <t>VÄSTRA GÖTALANDS LÄN</t>
        </is>
      </c>
      <c r="E3389" t="inlineStr">
        <is>
          <t>TANUM</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54540-2019</t>
        </is>
      </c>
      <c r="B3390" s="1" t="n">
        <v>43754</v>
      </c>
      <c r="C3390" s="1" t="n">
        <v>45227</v>
      </c>
      <c r="D3390" t="inlineStr">
        <is>
          <t>VÄSTRA GÖTALANDS LÄN</t>
        </is>
      </c>
      <c r="E3390" t="inlineStr">
        <is>
          <t>GULLSPÅNG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54446-2019</t>
        </is>
      </c>
      <c r="B3391" s="1" t="n">
        <v>43754</v>
      </c>
      <c r="C3391" s="1" t="n">
        <v>45227</v>
      </c>
      <c r="D3391" t="inlineStr">
        <is>
          <t>VÄSTRA GÖTALANDS LÄN</t>
        </is>
      </c>
      <c r="E3391" t="inlineStr">
        <is>
          <t>TIDAHOLM</t>
        </is>
      </c>
      <c r="F3391" t="inlineStr">
        <is>
          <t>Kyrkan</t>
        </is>
      </c>
      <c r="G3391" t="n">
        <v>8.9</v>
      </c>
      <c r="H3391" t="n">
        <v>0</v>
      </c>
      <c r="I3391" t="n">
        <v>0</v>
      </c>
      <c r="J3391" t="n">
        <v>0</v>
      </c>
      <c r="K3391" t="n">
        <v>0</v>
      </c>
      <c r="L3391" t="n">
        <v>0</v>
      </c>
      <c r="M3391" t="n">
        <v>0</v>
      </c>
      <c r="N3391" t="n">
        <v>0</v>
      </c>
      <c r="O3391" t="n">
        <v>0</v>
      </c>
      <c r="P3391" t="n">
        <v>0</v>
      </c>
      <c r="Q3391" t="n">
        <v>0</v>
      </c>
      <c r="R3391" s="2" t="inlineStr"/>
    </row>
    <row r="3392" ht="15" customHeight="1">
      <c r="A3392" t="inlineStr">
        <is>
          <t>A 54488-2019</t>
        </is>
      </c>
      <c r="B3392" s="1" t="n">
        <v>43754</v>
      </c>
      <c r="C3392" s="1" t="n">
        <v>45227</v>
      </c>
      <c r="D3392" t="inlineStr">
        <is>
          <t>VÄSTRA GÖTALANDS LÄN</t>
        </is>
      </c>
      <c r="E3392" t="inlineStr">
        <is>
          <t>TROLLHÄTTAN</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54850-2019</t>
        </is>
      </c>
      <c r="B3393" s="1" t="n">
        <v>43755</v>
      </c>
      <c r="C3393" s="1" t="n">
        <v>45227</v>
      </c>
      <c r="D3393" t="inlineStr">
        <is>
          <t>VÄSTRA GÖTALANDS LÄN</t>
        </is>
      </c>
      <c r="E3393" t="inlineStr">
        <is>
          <t>MARK</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55636-2019</t>
        </is>
      </c>
      <c r="B3394" s="1" t="n">
        <v>43755</v>
      </c>
      <c r="C3394" s="1" t="n">
        <v>45227</v>
      </c>
      <c r="D3394" t="inlineStr">
        <is>
          <t>VÄSTRA GÖTALANDS LÄN</t>
        </is>
      </c>
      <c r="E3394" t="inlineStr">
        <is>
          <t>SOTENÄS</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56086-2019</t>
        </is>
      </c>
      <c r="B3395" s="1" t="n">
        <v>43755</v>
      </c>
      <c r="C3395" s="1" t="n">
        <v>45227</v>
      </c>
      <c r="D3395" t="inlineStr">
        <is>
          <t>VÄSTRA GÖTALANDS LÄN</t>
        </is>
      </c>
      <c r="E3395" t="inlineStr">
        <is>
          <t>TANUM</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56123-2019</t>
        </is>
      </c>
      <c r="B3396" s="1" t="n">
        <v>43755</v>
      </c>
      <c r="C3396" s="1" t="n">
        <v>45227</v>
      </c>
      <c r="D3396" t="inlineStr">
        <is>
          <t>VÄSTRA GÖTALANDS LÄN</t>
        </is>
      </c>
      <c r="E3396" t="inlineStr">
        <is>
          <t>VARA</t>
        </is>
      </c>
      <c r="G3396" t="n">
        <v>2.2</v>
      </c>
      <c r="H3396" t="n">
        <v>0</v>
      </c>
      <c r="I3396" t="n">
        <v>0</v>
      </c>
      <c r="J3396" t="n">
        <v>0</v>
      </c>
      <c r="K3396" t="n">
        <v>0</v>
      </c>
      <c r="L3396" t="n">
        <v>0</v>
      </c>
      <c r="M3396" t="n">
        <v>0</v>
      </c>
      <c r="N3396" t="n">
        <v>0</v>
      </c>
      <c r="O3396" t="n">
        <v>0</v>
      </c>
      <c r="P3396" t="n">
        <v>0</v>
      </c>
      <c r="Q3396" t="n">
        <v>0</v>
      </c>
      <c r="R3396" s="2" t="inlineStr"/>
    </row>
    <row r="3397" ht="15" customHeight="1">
      <c r="A3397" t="inlineStr">
        <is>
          <t>A 56078-2019</t>
        </is>
      </c>
      <c r="B3397" s="1" t="n">
        <v>43755</v>
      </c>
      <c r="C3397" s="1" t="n">
        <v>45227</v>
      </c>
      <c r="D3397" t="inlineStr">
        <is>
          <t>VÄSTRA GÖTALANDS LÄN</t>
        </is>
      </c>
      <c r="E3397" t="inlineStr">
        <is>
          <t>SOTENÄS</t>
        </is>
      </c>
      <c r="G3397" t="n">
        <v>4.7</v>
      </c>
      <c r="H3397" t="n">
        <v>0</v>
      </c>
      <c r="I3397" t="n">
        <v>0</v>
      </c>
      <c r="J3397" t="n">
        <v>0</v>
      </c>
      <c r="K3397" t="n">
        <v>0</v>
      </c>
      <c r="L3397" t="n">
        <v>0</v>
      </c>
      <c r="M3397" t="n">
        <v>0</v>
      </c>
      <c r="N3397" t="n">
        <v>0</v>
      </c>
      <c r="O3397" t="n">
        <v>0</v>
      </c>
      <c r="P3397" t="n">
        <v>0</v>
      </c>
      <c r="Q3397" t="n">
        <v>0</v>
      </c>
      <c r="R3397" s="2" t="inlineStr"/>
    </row>
    <row r="3398" ht="15" customHeight="1">
      <c r="A3398" t="inlineStr">
        <is>
          <t>A 54841-2019</t>
        </is>
      </c>
      <c r="B3398" s="1" t="n">
        <v>43755</v>
      </c>
      <c r="C3398" s="1" t="n">
        <v>45227</v>
      </c>
      <c r="D3398" t="inlineStr">
        <is>
          <t>VÄSTRA GÖTALANDS LÄN</t>
        </is>
      </c>
      <c r="E3398" t="inlineStr">
        <is>
          <t>MARK</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55226-2019</t>
        </is>
      </c>
      <c r="B3399" s="1" t="n">
        <v>43756</v>
      </c>
      <c r="C3399" s="1" t="n">
        <v>45227</v>
      </c>
      <c r="D3399" t="inlineStr">
        <is>
          <t>VÄSTRA GÖTALANDS LÄN</t>
        </is>
      </c>
      <c r="E3399" t="inlineStr">
        <is>
          <t>TROLLHÄTTAN</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55094-2019</t>
        </is>
      </c>
      <c r="B3400" s="1" t="n">
        <v>43756</v>
      </c>
      <c r="C3400" s="1" t="n">
        <v>45227</v>
      </c>
      <c r="D3400" t="inlineStr">
        <is>
          <t>VÄSTRA GÖTALANDS LÄN</t>
        </is>
      </c>
      <c r="E3400" t="inlineStr">
        <is>
          <t>SKÖVDE</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55224-2019</t>
        </is>
      </c>
      <c r="B3401" s="1" t="n">
        <v>43756</v>
      </c>
      <c r="C3401" s="1" t="n">
        <v>45227</v>
      </c>
      <c r="D3401" t="inlineStr">
        <is>
          <t>VÄSTRA GÖTALANDS LÄN</t>
        </is>
      </c>
      <c r="E3401" t="inlineStr">
        <is>
          <t>TROLLHÄTTAN</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55299-2019</t>
        </is>
      </c>
      <c r="B3402" s="1" t="n">
        <v>43756</v>
      </c>
      <c r="C3402" s="1" t="n">
        <v>45227</v>
      </c>
      <c r="D3402" t="inlineStr">
        <is>
          <t>VÄSTRA GÖTALANDS LÄN</t>
        </is>
      </c>
      <c r="E3402" t="inlineStr">
        <is>
          <t>BORÅS</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55126-2019</t>
        </is>
      </c>
      <c r="B3403" s="1" t="n">
        <v>43756</v>
      </c>
      <c r="C3403" s="1" t="n">
        <v>45227</v>
      </c>
      <c r="D3403" t="inlineStr">
        <is>
          <t>VÄSTRA GÖTALANDS LÄN</t>
        </is>
      </c>
      <c r="E3403" t="inlineStr">
        <is>
          <t>VÅRGÅRDA</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55315-2019</t>
        </is>
      </c>
      <c r="B3404" s="1" t="n">
        <v>43756</v>
      </c>
      <c r="C3404" s="1" t="n">
        <v>45227</v>
      </c>
      <c r="D3404" t="inlineStr">
        <is>
          <t>VÄSTRA GÖTALANDS LÄN</t>
        </is>
      </c>
      <c r="E3404" t="inlineStr">
        <is>
          <t>UDDEVALLA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56602-2019</t>
        </is>
      </c>
      <c r="B3405" s="1" t="n">
        <v>43757</v>
      </c>
      <c r="C3405" s="1" t="n">
        <v>45227</v>
      </c>
      <c r="D3405" t="inlineStr">
        <is>
          <t>VÄSTRA GÖTALANDS LÄN</t>
        </is>
      </c>
      <c r="E3405" t="inlineStr">
        <is>
          <t>TANUM</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55402-2019</t>
        </is>
      </c>
      <c r="B3406" s="1" t="n">
        <v>43758</v>
      </c>
      <c r="C3406" s="1" t="n">
        <v>45227</v>
      </c>
      <c r="D3406" t="inlineStr">
        <is>
          <t>VÄSTRA GÖTALANDS LÄN</t>
        </is>
      </c>
      <c r="E3406" t="inlineStr">
        <is>
          <t>BORÅS</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55413-2019</t>
        </is>
      </c>
      <c r="B3407" s="1" t="n">
        <v>43758</v>
      </c>
      <c r="C3407" s="1" t="n">
        <v>45227</v>
      </c>
      <c r="D3407" t="inlineStr">
        <is>
          <t>VÄSTRA GÖTALANDS LÄN</t>
        </is>
      </c>
      <c r="E3407" t="inlineStr">
        <is>
          <t>MARK</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55406-2019</t>
        </is>
      </c>
      <c r="B3408" s="1" t="n">
        <v>43758</v>
      </c>
      <c r="C3408" s="1" t="n">
        <v>45227</v>
      </c>
      <c r="D3408" t="inlineStr">
        <is>
          <t>VÄSTRA GÖTALANDS LÄN</t>
        </is>
      </c>
      <c r="E3408" t="inlineStr">
        <is>
          <t>SVENLJUNGA</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55557-2019</t>
        </is>
      </c>
      <c r="B3409" s="1" t="n">
        <v>43759</v>
      </c>
      <c r="C3409" s="1" t="n">
        <v>45227</v>
      </c>
      <c r="D3409" t="inlineStr">
        <is>
          <t>VÄSTRA GÖTALANDS LÄN</t>
        </is>
      </c>
      <c r="E3409" t="inlineStr">
        <is>
          <t>VÅRGÅRDA</t>
        </is>
      </c>
      <c r="F3409" t="inlineStr">
        <is>
          <t>Sveaskog</t>
        </is>
      </c>
      <c r="G3409" t="n">
        <v>9.9</v>
      </c>
      <c r="H3409" t="n">
        <v>0</v>
      </c>
      <c r="I3409" t="n">
        <v>0</v>
      </c>
      <c r="J3409" t="n">
        <v>0</v>
      </c>
      <c r="K3409" t="n">
        <v>0</v>
      </c>
      <c r="L3409" t="n">
        <v>0</v>
      </c>
      <c r="M3409" t="n">
        <v>0</v>
      </c>
      <c r="N3409" t="n">
        <v>0</v>
      </c>
      <c r="O3409" t="n">
        <v>0</v>
      </c>
      <c r="P3409" t="n">
        <v>0</v>
      </c>
      <c r="Q3409" t="n">
        <v>0</v>
      </c>
      <c r="R3409" s="2" t="inlineStr"/>
    </row>
    <row r="3410" ht="15" customHeight="1">
      <c r="A3410" t="inlineStr">
        <is>
          <t>A 55482-2019</t>
        </is>
      </c>
      <c r="B3410" s="1" t="n">
        <v>43759</v>
      </c>
      <c r="C3410" s="1" t="n">
        <v>45227</v>
      </c>
      <c r="D3410" t="inlineStr">
        <is>
          <t>VÄSTRA GÖTALANDS LÄN</t>
        </is>
      </c>
      <c r="E3410" t="inlineStr">
        <is>
          <t>TRANEMO</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55526-2019</t>
        </is>
      </c>
      <c r="B3411" s="1" t="n">
        <v>43759</v>
      </c>
      <c r="C3411" s="1" t="n">
        <v>45227</v>
      </c>
      <c r="D3411" t="inlineStr">
        <is>
          <t>VÄSTRA GÖTALANDS LÄN</t>
        </is>
      </c>
      <c r="E3411" t="inlineStr">
        <is>
          <t>VÅRGÅRDA</t>
        </is>
      </c>
      <c r="F3411" t="inlineStr">
        <is>
          <t>Sveaskog</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57300-2019</t>
        </is>
      </c>
      <c r="B3412" s="1" t="n">
        <v>43760</v>
      </c>
      <c r="C3412" s="1" t="n">
        <v>45227</v>
      </c>
      <c r="D3412" t="inlineStr">
        <is>
          <t>VÄSTRA GÖTALANDS LÄN</t>
        </is>
      </c>
      <c r="E3412" t="inlineStr">
        <is>
          <t>GÖTENE</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55570-2019</t>
        </is>
      </c>
      <c r="B3413" s="1" t="n">
        <v>43760</v>
      </c>
      <c r="C3413" s="1" t="n">
        <v>45227</v>
      </c>
      <c r="D3413" t="inlineStr">
        <is>
          <t>VÄSTRA GÖTALANDS LÄN</t>
        </is>
      </c>
      <c r="E3413" t="inlineStr">
        <is>
          <t>ÅMÅL</t>
        </is>
      </c>
      <c r="G3413" t="n">
        <v>0</v>
      </c>
      <c r="H3413" t="n">
        <v>0</v>
      </c>
      <c r="I3413" t="n">
        <v>0</v>
      </c>
      <c r="J3413" t="n">
        <v>0</v>
      </c>
      <c r="K3413" t="n">
        <v>0</v>
      </c>
      <c r="L3413" t="n">
        <v>0</v>
      </c>
      <c r="M3413" t="n">
        <v>0</v>
      </c>
      <c r="N3413" t="n">
        <v>0</v>
      </c>
      <c r="O3413" t="n">
        <v>0</v>
      </c>
      <c r="P3413" t="n">
        <v>0</v>
      </c>
      <c r="Q3413" t="n">
        <v>0</v>
      </c>
      <c r="R3413" s="2" t="inlineStr"/>
    </row>
    <row r="3414" ht="15" customHeight="1">
      <c r="A3414" t="inlineStr">
        <is>
          <t>A 55454-2019</t>
        </is>
      </c>
      <c r="B3414" s="1" t="n">
        <v>43760</v>
      </c>
      <c r="C3414" s="1" t="n">
        <v>45227</v>
      </c>
      <c r="D3414" t="inlineStr">
        <is>
          <t>VÄSTRA GÖTALANDS LÄN</t>
        </is>
      </c>
      <c r="E3414" t="inlineStr">
        <is>
          <t>SVENLJUNGA</t>
        </is>
      </c>
      <c r="G3414" t="n">
        <v>0.3</v>
      </c>
      <c r="H3414" t="n">
        <v>0</v>
      </c>
      <c r="I3414" t="n">
        <v>0</v>
      </c>
      <c r="J3414" t="n">
        <v>0</v>
      </c>
      <c r="K3414" t="n">
        <v>0</v>
      </c>
      <c r="L3414" t="n">
        <v>0</v>
      </c>
      <c r="M3414" t="n">
        <v>0</v>
      </c>
      <c r="N3414" t="n">
        <v>0</v>
      </c>
      <c r="O3414" t="n">
        <v>0</v>
      </c>
      <c r="P3414" t="n">
        <v>0</v>
      </c>
      <c r="Q3414" t="n">
        <v>0</v>
      </c>
      <c r="R3414" s="2" t="inlineStr"/>
    </row>
    <row r="3415" ht="15" customHeight="1">
      <c r="A3415" t="inlineStr">
        <is>
          <t>A 55579-2019</t>
        </is>
      </c>
      <c r="B3415" s="1" t="n">
        <v>43760</v>
      </c>
      <c r="C3415" s="1" t="n">
        <v>45227</v>
      </c>
      <c r="D3415" t="inlineStr">
        <is>
          <t>VÄSTRA GÖTALANDS LÄN</t>
        </is>
      </c>
      <c r="E3415" t="inlineStr">
        <is>
          <t>TRANEMO</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55639-2019</t>
        </is>
      </c>
      <c r="B3416" s="1" t="n">
        <v>43760</v>
      </c>
      <c r="C3416" s="1" t="n">
        <v>45227</v>
      </c>
      <c r="D3416" t="inlineStr">
        <is>
          <t>VÄSTRA GÖTALANDS LÄN</t>
        </is>
      </c>
      <c r="E3416" t="inlineStr">
        <is>
          <t>FÄRGELANDA</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56128-2019</t>
        </is>
      </c>
      <c r="B3417" s="1" t="n">
        <v>43761</v>
      </c>
      <c r="C3417" s="1" t="n">
        <v>45227</v>
      </c>
      <c r="D3417" t="inlineStr">
        <is>
          <t>VÄSTRA GÖTALANDS LÄN</t>
        </is>
      </c>
      <c r="E3417" t="inlineStr">
        <is>
          <t>ULRICEHAMN</t>
        </is>
      </c>
      <c r="G3417" t="n">
        <v>2.9</v>
      </c>
      <c r="H3417" t="n">
        <v>0</v>
      </c>
      <c r="I3417" t="n">
        <v>0</v>
      </c>
      <c r="J3417" t="n">
        <v>0</v>
      </c>
      <c r="K3417" t="n">
        <v>0</v>
      </c>
      <c r="L3417" t="n">
        <v>0</v>
      </c>
      <c r="M3417" t="n">
        <v>0</v>
      </c>
      <c r="N3417" t="n">
        <v>0</v>
      </c>
      <c r="O3417" t="n">
        <v>0</v>
      </c>
      <c r="P3417" t="n">
        <v>0</v>
      </c>
      <c r="Q3417" t="n">
        <v>0</v>
      </c>
      <c r="R3417" s="2" t="inlineStr"/>
    </row>
    <row r="3418" ht="15" customHeight="1">
      <c r="A3418" t="inlineStr">
        <is>
          <t>A 55836-2019</t>
        </is>
      </c>
      <c r="B3418" s="1" t="n">
        <v>43761</v>
      </c>
      <c r="C3418" s="1" t="n">
        <v>45227</v>
      </c>
      <c r="D3418" t="inlineStr">
        <is>
          <t>VÄSTRA GÖTALANDS LÄN</t>
        </is>
      </c>
      <c r="E3418" t="inlineStr">
        <is>
          <t>TRANEMO</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56134-2019</t>
        </is>
      </c>
      <c r="B3419" s="1" t="n">
        <v>43761</v>
      </c>
      <c r="C3419" s="1" t="n">
        <v>45227</v>
      </c>
      <c r="D3419" t="inlineStr">
        <is>
          <t>VÄSTRA GÖTALANDS LÄN</t>
        </is>
      </c>
      <c r="E3419" t="inlineStr">
        <is>
          <t>VARA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55907-2019</t>
        </is>
      </c>
      <c r="B3420" s="1" t="n">
        <v>43761</v>
      </c>
      <c r="C3420" s="1" t="n">
        <v>45227</v>
      </c>
      <c r="D3420" t="inlineStr">
        <is>
          <t>VÄSTRA GÖTALANDS LÄN</t>
        </is>
      </c>
      <c r="E3420" t="inlineStr">
        <is>
          <t>SVENLJUNGA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56317-2019</t>
        </is>
      </c>
      <c r="B3421" s="1" t="n">
        <v>43762</v>
      </c>
      <c r="C3421" s="1" t="n">
        <v>45227</v>
      </c>
      <c r="D3421" t="inlineStr">
        <is>
          <t>VÄSTRA GÖTALANDS LÄN</t>
        </is>
      </c>
      <c r="E3421" t="inlineStr">
        <is>
          <t>TIDAHOLM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56388-2019</t>
        </is>
      </c>
      <c r="B3422" s="1" t="n">
        <v>43762</v>
      </c>
      <c r="C3422" s="1" t="n">
        <v>45227</v>
      </c>
      <c r="D3422" t="inlineStr">
        <is>
          <t>VÄSTRA GÖTALANDS LÄN</t>
        </is>
      </c>
      <c r="E3422" t="inlineStr">
        <is>
          <t>HJO</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56402-2019</t>
        </is>
      </c>
      <c r="B3423" s="1" t="n">
        <v>43762</v>
      </c>
      <c r="C3423" s="1" t="n">
        <v>45227</v>
      </c>
      <c r="D3423" t="inlineStr">
        <is>
          <t>VÄSTRA GÖTALANDS LÄN</t>
        </is>
      </c>
      <c r="E3423" t="inlineStr">
        <is>
          <t>FALKÖPING</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56416-2019</t>
        </is>
      </c>
      <c r="B3424" s="1" t="n">
        <v>43762</v>
      </c>
      <c r="C3424" s="1" t="n">
        <v>45227</v>
      </c>
      <c r="D3424" t="inlineStr">
        <is>
          <t>VÄSTRA GÖTALANDS LÄN</t>
        </is>
      </c>
      <c r="E3424" t="inlineStr">
        <is>
          <t>FALKÖPING</t>
        </is>
      </c>
      <c r="G3424" t="n">
        <v>2.3</v>
      </c>
      <c r="H3424" t="n">
        <v>0</v>
      </c>
      <c r="I3424" t="n">
        <v>0</v>
      </c>
      <c r="J3424" t="n">
        <v>0</v>
      </c>
      <c r="K3424" t="n">
        <v>0</v>
      </c>
      <c r="L3424" t="n">
        <v>0</v>
      </c>
      <c r="M3424" t="n">
        <v>0</v>
      </c>
      <c r="N3424" t="n">
        <v>0</v>
      </c>
      <c r="O3424" t="n">
        <v>0</v>
      </c>
      <c r="P3424" t="n">
        <v>0</v>
      </c>
      <c r="Q3424" t="n">
        <v>0</v>
      </c>
      <c r="R3424" s="2" t="inlineStr"/>
    </row>
    <row r="3425" ht="15" customHeight="1">
      <c r="A3425" t="inlineStr">
        <is>
          <t>A 56574-2019</t>
        </is>
      </c>
      <c r="B3425" s="1" t="n">
        <v>43762</v>
      </c>
      <c r="C3425" s="1" t="n">
        <v>45227</v>
      </c>
      <c r="D3425" t="inlineStr">
        <is>
          <t>VÄSTRA GÖTALANDS LÄN</t>
        </is>
      </c>
      <c r="E3425" t="inlineStr">
        <is>
          <t>TIBRO</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58069-2019</t>
        </is>
      </c>
      <c r="B3426" s="1" t="n">
        <v>43762</v>
      </c>
      <c r="C3426" s="1" t="n">
        <v>45227</v>
      </c>
      <c r="D3426" t="inlineStr">
        <is>
          <t>VÄSTRA GÖTALANDS LÄN</t>
        </is>
      </c>
      <c r="E3426" t="inlineStr">
        <is>
          <t>KARLSBORG</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56294-2019</t>
        </is>
      </c>
      <c r="B3427" s="1" t="n">
        <v>43762</v>
      </c>
      <c r="C3427" s="1" t="n">
        <v>45227</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56411-2019</t>
        </is>
      </c>
      <c r="B3428" s="1" t="n">
        <v>43762</v>
      </c>
      <c r="C3428" s="1" t="n">
        <v>45227</v>
      </c>
      <c r="D3428" t="inlineStr">
        <is>
          <t>VÄSTRA GÖTALANDS LÄN</t>
        </is>
      </c>
      <c r="E3428" t="inlineStr">
        <is>
          <t>FALKÖPING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58065-2019</t>
        </is>
      </c>
      <c r="B3429" s="1" t="n">
        <v>43762</v>
      </c>
      <c r="C3429" s="1" t="n">
        <v>45227</v>
      </c>
      <c r="D3429" t="inlineStr">
        <is>
          <t>VÄSTRA GÖTALANDS LÄN</t>
        </is>
      </c>
      <c r="E3429" t="inlineStr">
        <is>
          <t>KARLSBORG</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56381-2019</t>
        </is>
      </c>
      <c r="B3430" s="1" t="n">
        <v>43762</v>
      </c>
      <c r="C3430" s="1" t="n">
        <v>45227</v>
      </c>
      <c r="D3430" t="inlineStr">
        <is>
          <t>VÄSTRA GÖTALANDS LÄN</t>
        </is>
      </c>
      <c r="E3430" t="inlineStr">
        <is>
          <t>HJO</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56406-2019</t>
        </is>
      </c>
      <c r="B3431" s="1" t="n">
        <v>43762</v>
      </c>
      <c r="C3431" s="1" t="n">
        <v>45227</v>
      </c>
      <c r="D3431" t="inlineStr">
        <is>
          <t>VÄSTRA GÖTALANDS LÄN</t>
        </is>
      </c>
      <c r="E3431" t="inlineStr">
        <is>
          <t>FALKÖPING</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56683-2019</t>
        </is>
      </c>
      <c r="B3432" s="1" t="n">
        <v>43763</v>
      </c>
      <c r="C3432" s="1" t="n">
        <v>45227</v>
      </c>
      <c r="D3432" t="inlineStr">
        <is>
          <t>VÄSTRA GÖTALANDS LÄN</t>
        </is>
      </c>
      <c r="E3432" t="inlineStr">
        <is>
          <t>LIDKÖPING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56777-2019</t>
        </is>
      </c>
      <c r="B3433" s="1" t="n">
        <v>43763</v>
      </c>
      <c r="C3433" s="1" t="n">
        <v>45227</v>
      </c>
      <c r="D3433" t="inlineStr">
        <is>
          <t>VÄSTRA GÖTALANDS LÄN</t>
        </is>
      </c>
      <c r="E3433" t="inlineStr">
        <is>
          <t>SKÖVDE</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56752-2019</t>
        </is>
      </c>
      <c r="B3434" s="1" t="n">
        <v>43763</v>
      </c>
      <c r="C3434" s="1" t="n">
        <v>45227</v>
      </c>
      <c r="D3434" t="inlineStr">
        <is>
          <t>VÄSTRA GÖTALANDS LÄN</t>
        </is>
      </c>
      <c r="E3434" t="inlineStr">
        <is>
          <t>HERRLJUNGA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56755-2019</t>
        </is>
      </c>
      <c r="B3435" s="1" t="n">
        <v>43763</v>
      </c>
      <c r="C3435" s="1" t="n">
        <v>45227</v>
      </c>
      <c r="D3435" t="inlineStr">
        <is>
          <t>VÄSTRA GÖTALANDS LÄN</t>
        </is>
      </c>
      <c r="E3435" t="inlineStr">
        <is>
          <t>HERRLJUNGA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56846-2019</t>
        </is>
      </c>
      <c r="B3436" s="1" t="n">
        <v>43765</v>
      </c>
      <c r="C3436" s="1" t="n">
        <v>45227</v>
      </c>
      <c r="D3436" t="inlineStr">
        <is>
          <t>VÄSTRA GÖTALANDS LÄN</t>
        </is>
      </c>
      <c r="E3436" t="inlineStr">
        <is>
          <t>ULRICEHAMN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56840-2019</t>
        </is>
      </c>
      <c r="B3437" s="1" t="n">
        <v>43765</v>
      </c>
      <c r="C3437" s="1" t="n">
        <v>45227</v>
      </c>
      <c r="D3437" t="inlineStr">
        <is>
          <t>VÄSTRA GÖTALANDS LÄN</t>
        </is>
      </c>
      <c r="E3437" t="inlineStr">
        <is>
          <t>FÄRGELANDA</t>
        </is>
      </c>
      <c r="G3437" t="n">
        <v>3.9</v>
      </c>
      <c r="H3437" t="n">
        <v>0</v>
      </c>
      <c r="I3437" t="n">
        <v>0</v>
      </c>
      <c r="J3437" t="n">
        <v>0</v>
      </c>
      <c r="K3437" t="n">
        <v>0</v>
      </c>
      <c r="L3437" t="n">
        <v>0</v>
      </c>
      <c r="M3437" t="n">
        <v>0</v>
      </c>
      <c r="N3437" t="n">
        <v>0</v>
      </c>
      <c r="O3437" t="n">
        <v>0</v>
      </c>
      <c r="P3437" t="n">
        <v>0</v>
      </c>
      <c r="Q3437" t="n">
        <v>0</v>
      </c>
      <c r="R3437" s="2" t="inlineStr"/>
    </row>
    <row r="3438" ht="15" customHeight="1">
      <c r="A3438" t="inlineStr">
        <is>
          <t>A 58112-2019</t>
        </is>
      </c>
      <c r="B3438" s="1" t="n">
        <v>43766</v>
      </c>
      <c r="C3438" s="1" t="n">
        <v>45227</v>
      </c>
      <c r="D3438" t="inlineStr">
        <is>
          <t>VÄSTRA GÖTALANDS LÄN</t>
        </is>
      </c>
      <c r="E3438" t="inlineStr">
        <is>
          <t>MUNKEDAL</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56927-2019</t>
        </is>
      </c>
      <c r="B3439" s="1" t="n">
        <v>43766</v>
      </c>
      <c r="C3439" s="1" t="n">
        <v>45227</v>
      </c>
      <c r="D3439" t="inlineStr">
        <is>
          <t>VÄSTRA GÖTALANDS LÄN</t>
        </is>
      </c>
      <c r="E3439" t="inlineStr">
        <is>
          <t>GULLSPÅNG</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56997-2019</t>
        </is>
      </c>
      <c r="B3440" s="1" t="n">
        <v>43766</v>
      </c>
      <c r="C3440" s="1" t="n">
        <v>45227</v>
      </c>
      <c r="D3440" t="inlineStr">
        <is>
          <t>VÄSTRA GÖTALANDS LÄN</t>
        </is>
      </c>
      <c r="E3440" t="inlineStr">
        <is>
          <t>BENGTSFORS</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57033-2019</t>
        </is>
      </c>
      <c r="B3441" s="1" t="n">
        <v>43766</v>
      </c>
      <c r="C3441" s="1" t="n">
        <v>45227</v>
      </c>
      <c r="D3441" t="inlineStr">
        <is>
          <t>VÄSTRA GÖTALANDS LÄN</t>
        </is>
      </c>
      <c r="E3441" t="inlineStr">
        <is>
          <t>LILLA EDET</t>
        </is>
      </c>
      <c r="G3441" t="n">
        <v>9.9</v>
      </c>
      <c r="H3441" t="n">
        <v>0</v>
      </c>
      <c r="I3441" t="n">
        <v>0</v>
      </c>
      <c r="J3441" t="n">
        <v>0</v>
      </c>
      <c r="K3441" t="n">
        <v>0</v>
      </c>
      <c r="L3441" t="n">
        <v>0</v>
      </c>
      <c r="M3441" t="n">
        <v>0</v>
      </c>
      <c r="N3441" t="n">
        <v>0</v>
      </c>
      <c r="O3441" t="n">
        <v>0</v>
      </c>
      <c r="P3441" t="n">
        <v>0</v>
      </c>
      <c r="Q3441" t="n">
        <v>0</v>
      </c>
      <c r="R3441" s="2" t="inlineStr"/>
    </row>
    <row r="3442" ht="15" customHeight="1">
      <c r="A3442" t="inlineStr">
        <is>
          <t>A 58451-2019</t>
        </is>
      </c>
      <c r="B3442" s="1" t="n">
        <v>43766</v>
      </c>
      <c r="C3442" s="1" t="n">
        <v>45227</v>
      </c>
      <c r="D3442" t="inlineStr">
        <is>
          <t>VÄSTRA GÖTALANDS LÄN</t>
        </is>
      </c>
      <c r="E3442" t="inlineStr">
        <is>
          <t>GÖTENE</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56887-2019</t>
        </is>
      </c>
      <c r="B3443" s="1" t="n">
        <v>43766</v>
      </c>
      <c r="C3443" s="1" t="n">
        <v>45227</v>
      </c>
      <c r="D3443" t="inlineStr">
        <is>
          <t>VÄSTRA GÖTALANDS LÄN</t>
        </is>
      </c>
      <c r="E3443" t="inlineStr">
        <is>
          <t>BORÅS</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56957-2019</t>
        </is>
      </c>
      <c r="B3444" s="1" t="n">
        <v>43766</v>
      </c>
      <c r="C3444" s="1" t="n">
        <v>45227</v>
      </c>
      <c r="D3444" t="inlineStr">
        <is>
          <t>VÄSTRA GÖTALANDS LÄN</t>
        </is>
      </c>
      <c r="E3444" t="inlineStr">
        <is>
          <t>DALS-ED</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57019-2019</t>
        </is>
      </c>
      <c r="B3445" s="1" t="n">
        <v>43766</v>
      </c>
      <c r="C3445" s="1" t="n">
        <v>45227</v>
      </c>
      <c r="D3445" t="inlineStr">
        <is>
          <t>VÄSTRA GÖTALANDS LÄN</t>
        </is>
      </c>
      <c r="E3445" t="inlineStr">
        <is>
          <t>VARA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57094-2019</t>
        </is>
      </c>
      <c r="B3446" s="1" t="n">
        <v>43766</v>
      </c>
      <c r="C3446" s="1" t="n">
        <v>45227</v>
      </c>
      <c r="D3446" t="inlineStr">
        <is>
          <t>VÄSTRA GÖTALANDS LÄN</t>
        </is>
      </c>
      <c r="E3446" t="inlineStr">
        <is>
          <t>BENGTSFORS</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58120-2019</t>
        </is>
      </c>
      <c r="B3447" s="1" t="n">
        <v>43766</v>
      </c>
      <c r="C3447" s="1" t="n">
        <v>45227</v>
      </c>
      <c r="D3447" t="inlineStr">
        <is>
          <t>VÄSTRA GÖTALANDS LÄN</t>
        </is>
      </c>
      <c r="E3447" t="inlineStr">
        <is>
          <t>DALS-ED</t>
        </is>
      </c>
      <c r="G3447" t="n">
        <v>4.9</v>
      </c>
      <c r="H3447" t="n">
        <v>0</v>
      </c>
      <c r="I3447" t="n">
        <v>0</v>
      </c>
      <c r="J3447" t="n">
        <v>0</v>
      </c>
      <c r="K3447" t="n">
        <v>0</v>
      </c>
      <c r="L3447" t="n">
        <v>0</v>
      </c>
      <c r="M3447" t="n">
        <v>0</v>
      </c>
      <c r="N3447" t="n">
        <v>0</v>
      </c>
      <c r="O3447" t="n">
        <v>0</v>
      </c>
      <c r="P3447" t="n">
        <v>0</v>
      </c>
      <c r="Q3447" t="n">
        <v>0</v>
      </c>
      <c r="R3447" s="2" t="inlineStr"/>
    </row>
    <row r="3448" ht="15" customHeight="1">
      <c r="A3448" t="inlineStr">
        <is>
          <t>A 56953-2019</t>
        </is>
      </c>
      <c r="B3448" s="1" t="n">
        <v>43766</v>
      </c>
      <c r="C3448" s="1" t="n">
        <v>45227</v>
      </c>
      <c r="D3448" t="inlineStr">
        <is>
          <t>VÄSTRA GÖTALANDS LÄN</t>
        </is>
      </c>
      <c r="E3448" t="inlineStr">
        <is>
          <t>ALINGSÅS</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57036-2019</t>
        </is>
      </c>
      <c r="B3449" s="1" t="n">
        <v>43766</v>
      </c>
      <c r="C3449" s="1" t="n">
        <v>45227</v>
      </c>
      <c r="D3449" t="inlineStr">
        <is>
          <t>VÄSTRA GÖTALANDS LÄN</t>
        </is>
      </c>
      <c r="E3449" t="inlineStr">
        <is>
          <t>LILLA EDET</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56944-2019</t>
        </is>
      </c>
      <c r="B3450" s="1" t="n">
        <v>43766</v>
      </c>
      <c r="C3450" s="1" t="n">
        <v>45227</v>
      </c>
      <c r="D3450" t="inlineStr">
        <is>
          <t>VÄSTRA GÖTALANDS LÄN</t>
        </is>
      </c>
      <c r="E3450" t="inlineStr">
        <is>
          <t>BENGTSFORS</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57327-2019</t>
        </is>
      </c>
      <c r="B3451" s="1" t="n">
        <v>43767</v>
      </c>
      <c r="C3451" s="1" t="n">
        <v>45227</v>
      </c>
      <c r="D3451" t="inlineStr">
        <is>
          <t>VÄSTRA GÖTALANDS LÄN</t>
        </is>
      </c>
      <c r="E3451" t="inlineStr">
        <is>
          <t>BORÅS</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57455-2019</t>
        </is>
      </c>
      <c r="B3452" s="1" t="n">
        <v>43767</v>
      </c>
      <c r="C3452" s="1" t="n">
        <v>45227</v>
      </c>
      <c r="D3452" t="inlineStr">
        <is>
          <t>VÄSTRA GÖTALANDS LÄN</t>
        </is>
      </c>
      <c r="E3452" t="inlineStr">
        <is>
          <t>STRÖMSTAD</t>
        </is>
      </c>
      <c r="G3452" t="n">
        <v>3.9</v>
      </c>
      <c r="H3452" t="n">
        <v>0</v>
      </c>
      <c r="I3452" t="n">
        <v>0</v>
      </c>
      <c r="J3452" t="n">
        <v>0</v>
      </c>
      <c r="K3452" t="n">
        <v>0</v>
      </c>
      <c r="L3452" t="n">
        <v>0</v>
      </c>
      <c r="M3452" t="n">
        <v>0</v>
      </c>
      <c r="N3452" t="n">
        <v>0</v>
      </c>
      <c r="O3452" t="n">
        <v>0</v>
      </c>
      <c r="P3452" t="n">
        <v>0</v>
      </c>
      <c r="Q3452" t="n">
        <v>0</v>
      </c>
      <c r="R3452" s="2" t="inlineStr"/>
      <c r="U3452">
        <f>HYPERLINK("https://klasma.github.io/Logging_1486/knärot/A 57455-2019 karta knärot.png", "A 57455-2019")</f>
        <v/>
      </c>
      <c r="V3452">
        <f>HYPERLINK("https://klasma.github.io/Logging_1486/klagomål/A 57455-2019 FSC-klagomål.docx", "A 57455-2019")</f>
        <v/>
      </c>
      <c r="W3452">
        <f>HYPERLINK("https://klasma.github.io/Logging_1486/klagomålsmail/A 57455-2019 FSC-klagomål mail.docx", "A 57455-2019")</f>
        <v/>
      </c>
      <c r="X3452">
        <f>HYPERLINK("https://klasma.github.io/Logging_1486/tillsyn/A 57455-2019 tillsynsbegäran.docx", "A 57455-2019")</f>
        <v/>
      </c>
      <c r="Y3452">
        <f>HYPERLINK("https://klasma.github.io/Logging_1486/tillsynsmail/A 57455-2019 tillsynsbegäran mail.docx", "A 57455-2019")</f>
        <v/>
      </c>
    </row>
    <row r="3453" ht="15" customHeight="1">
      <c r="A3453" t="inlineStr">
        <is>
          <t>A 57528-2019</t>
        </is>
      </c>
      <c r="B3453" s="1" t="n">
        <v>43767</v>
      </c>
      <c r="C3453" s="1" t="n">
        <v>45227</v>
      </c>
      <c r="D3453" t="inlineStr">
        <is>
          <t>VÄSTRA GÖTALANDS LÄN</t>
        </is>
      </c>
      <c r="E3453" t="inlineStr">
        <is>
          <t>TIDAHOLM</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57536-2019</t>
        </is>
      </c>
      <c r="B3454" s="1" t="n">
        <v>43767</v>
      </c>
      <c r="C3454" s="1" t="n">
        <v>45227</v>
      </c>
      <c r="D3454" t="inlineStr">
        <is>
          <t>VÄSTRA GÖTALANDS LÄN</t>
        </is>
      </c>
      <c r="E3454" t="inlineStr">
        <is>
          <t>LERUM</t>
        </is>
      </c>
      <c r="F3454" t="inlineStr">
        <is>
          <t>Kommuner</t>
        </is>
      </c>
      <c r="G3454" t="n">
        <v>6.9</v>
      </c>
      <c r="H3454" t="n">
        <v>0</v>
      </c>
      <c r="I3454" t="n">
        <v>0</v>
      </c>
      <c r="J3454" t="n">
        <v>0</v>
      </c>
      <c r="K3454" t="n">
        <v>0</v>
      </c>
      <c r="L3454" t="n">
        <v>0</v>
      </c>
      <c r="M3454" t="n">
        <v>0</v>
      </c>
      <c r="N3454" t="n">
        <v>0</v>
      </c>
      <c r="O3454" t="n">
        <v>0</v>
      </c>
      <c r="P3454" t="n">
        <v>0</v>
      </c>
      <c r="Q3454" t="n">
        <v>0</v>
      </c>
      <c r="R3454" s="2" t="inlineStr"/>
    </row>
    <row r="3455" ht="15" customHeight="1">
      <c r="A3455" t="inlineStr">
        <is>
          <t>A 57225-2019</t>
        </is>
      </c>
      <c r="B3455" s="1" t="n">
        <v>43767</v>
      </c>
      <c r="C3455" s="1" t="n">
        <v>45227</v>
      </c>
      <c r="D3455" t="inlineStr">
        <is>
          <t>VÄSTRA GÖTALANDS LÄN</t>
        </is>
      </c>
      <c r="E3455" t="inlineStr">
        <is>
          <t>BORÅS</t>
        </is>
      </c>
      <c r="F3455" t="inlineStr">
        <is>
          <t>Sveaskog</t>
        </is>
      </c>
      <c r="G3455" t="n">
        <v>6.1</v>
      </c>
      <c r="H3455" t="n">
        <v>0</v>
      </c>
      <c r="I3455" t="n">
        <v>0</v>
      </c>
      <c r="J3455" t="n">
        <v>0</v>
      </c>
      <c r="K3455" t="n">
        <v>0</v>
      </c>
      <c r="L3455" t="n">
        <v>0</v>
      </c>
      <c r="M3455" t="n">
        <v>0</v>
      </c>
      <c r="N3455" t="n">
        <v>0</v>
      </c>
      <c r="O3455" t="n">
        <v>0</v>
      </c>
      <c r="P3455" t="n">
        <v>0</v>
      </c>
      <c r="Q3455" t="n">
        <v>0</v>
      </c>
      <c r="R3455" s="2" t="inlineStr"/>
    </row>
    <row r="3456" ht="15" customHeight="1">
      <c r="A3456" t="inlineStr">
        <is>
          <t>A 57192-2019</t>
        </is>
      </c>
      <c r="B3456" s="1" t="n">
        <v>43767</v>
      </c>
      <c r="C3456" s="1" t="n">
        <v>45227</v>
      </c>
      <c r="D3456" t="inlineStr">
        <is>
          <t>VÄSTRA GÖTALANDS LÄN</t>
        </is>
      </c>
      <c r="E3456" t="inlineStr">
        <is>
          <t>SKARA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57436-2019</t>
        </is>
      </c>
      <c r="B3457" s="1" t="n">
        <v>43767</v>
      </c>
      <c r="C3457" s="1" t="n">
        <v>45227</v>
      </c>
      <c r="D3457" t="inlineStr">
        <is>
          <t>VÄSTRA GÖTALANDS LÄN</t>
        </is>
      </c>
      <c r="E3457" t="inlineStr">
        <is>
          <t>BENGTSFORS</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57447-2019</t>
        </is>
      </c>
      <c r="B3458" s="1" t="n">
        <v>43767</v>
      </c>
      <c r="C3458" s="1" t="n">
        <v>45227</v>
      </c>
      <c r="D3458" t="inlineStr">
        <is>
          <t>VÄSTRA GÖTALANDS LÄN</t>
        </is>
      </c>
      <c r="E3458" t="inlineStr">
        <is>
          <t>STRÖMSTAD</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57678-2019</t>
        </is>
      </c>
      <c r="B3459" s="1" t="n">
        <v>43768</v>
      </c>
      <c r="C3459" s="1" t="n">
        <v>45227</v>
      </c>
      <c r="D3459" t="inlineStr">
        <is>
          <t>VÄSTRA GÖTALANDS LÄN</t>
        </is>
      </c>
      <c r="E3459" t="inlineStr">
        <is>
          <t>FÄRGELANDA</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57789-2019</t>
        </is>
      </c>
      <c r="B3460" s="1" t="n">
        <v>43768</v>
      </c>
      <c r="C3460" s="1" t="n">
        <v>45227</v>
      </c>
      <c r="D3460" t="inlineStr">
        <is>
          <t>VÄSTRA GÖTALANDS LÄN</t>
        </is>
      </c>
      <c r="E3460" t="inlineStr">
        <is>
          <t>TIDAHOLM</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57778-2019</t>
        </is>
      </c>
      <c r="B3461" s="1" t="n">
        <v>43768</v>
      </c>
      <c r="C3461" s="1" t="n">
        <v>45227</v>
      </c>
      <c r="D3461" t="inlineStr">
        <is>
          <t>VÄSTRA GÖTALANDS LÄN</t>
        </is>
      </c>
      <c r="E3461" t="inlineStr">
        <is>
          <t>MUNKEDAL</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58607-2019</t>
        </is>
      </c>
      <c r="B3462" s="1" t="n">
        <v>43768</v>
      </c>
      <c r="C3462" s="1" t="n">
        <v>45227</v>
      </c>
      <c r="D3462" t="inlineStr">
        <is>
          <t>VÄSTRA GÖTALANDS LÄN</t>
        </is>
      </c>
      <c r="E3462" t="inlineStr">
        <is>
          <t>ÅMÅL</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57954-2019</t>
        </is>
      </c>
      <c r="B3463" s="1" t="n">
        <v>43769</v>
      </c>
      <c r="C3463" s="1" t="n">
        <v>45227</v>
      </c>
      <c r="D3463" t="inlineStr">
        <is>
          <t>VÄSTRA GÖTALANDS LÄN</t>
        </is>
      </c>
      <c r="E3463" t="inlineStr">
        <is>
          <t>DALS-ED</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58045-2019</t>
        </is>
      </c>
      <c r="B3464" s="1" t="n">
        <v>43769</v>
      </c>
      <c r="C3464" s="1" t="n">
        <v>45227</v>
      </c>
      <c r="D3464" t="inlineStr">
        <is>
          <t>VÄSTRA GÖTALANDS LÄN</t>
        </is>
      </c>
      <c r="E3464" t="inlineStr">
        <is>
          <t>HERRLJUNGA</t>
        </is>
      </c>
      <c r="G3464" t="n">
        <v>8</v>
      </c>
      <c r="H3464" t="n">
        <v>0</v>
      </c>
      <c r="I3464" t="n">
        <v>0</v>
      </c>
      <c r="J3464" t="n">
        <v>0</v>
      </c>
      <c r="K3464" t="n">
        <v>0</v>
      </c>
      <c r="L3464" t="n">
        <v>0</v>
      </c>
      <c r="M3464" t="n">
        <v>0</v>
      </c>
      <c r="N3464" t="n">
        <v>0</v>
      </c>
      <c r="O3464" t="n">
        <v>0</v>
      </c>
      <c r="P3464" t="n">
        <v>0</v>
      </c>
      <c r="Q3464" t="n">
        <v>0</v>
      </c>
      <c r="R3464" s="2" t="inlineStr"/>
    </row>
    <row r="3465" ht="15" customHeight="1">
      <c r="A3465" t="inlineStr">
        <is>
          <t>A 58142-2019</t>
        </is>
      </c>
      <c r="B3465" s="1" t="n">
        <v>43769</v>
      </c>
      <c r="C3465" s="1" t="n">
        <v>45227</v>
      </c>
      <c r="D3465" t="inlineStr">
        <is>
          <t>VÄSTRA GÖTALANDS LÄN</t>
        </is>
      </c>
      <c r="E3465" t="inlineStr">
        <is>
          <t>BENGTSFORS</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58156-2019</t>
        </is>
      </c>
      <c r="B3466" s="1" t="n">
        <v>43769</v>
      </c>
      <c r="C3466" s="1" t="n">
        <v>45227</v>
      </c>
      <c r="D3466" t="inlineStr">
        <is>
          <t>VÄSTRA GÖTALANDS LÄN</t>
        </is>
      </c>
      <c r="E3466" t="inlineStr">
        <is>
          <t>VARA</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57925-2019</t>
        </is>
      </c>
      <c r="B3467" s="1" t="n">
        <v>43769</v>
      </c>
      <c r="C3467" s="1" t="n">
        <v>45227</v>
      </c>
      <c r="D3467" t="inlineStr">
        <is>
          <t>VÄSTRA GÖTALANDS LÄN</t>
        </is>
      </c>
      <c r="E3467" t="inlineStr">
        <is>
          <t>ESSUNGA</t>
        </is>
      </c>
      <c r="F3467" t="inlineStr">
        <is>
          <t>Kyrkan</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57957-2019</t>
        </is>
      </c>
      <c r="B3468" s="1" t="n">
        <v>43769</v>
      </c>
      <c r="C3468" s="1" t="n">
        <v>45227</v>
      </c>
      <c r="D3468" t="inlineStr">
        <is>
          <t>VÄSTRA GÖTALANDS LÄN</t>
        </is>
      </c>
      <c r="E3468" t="inlineStr">
        <is>
          <t>LIDKÖPING</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59131-2019</t>
        </is>
      </c>
      <c r="B3469" s="1" t="n">
        <v>43769</v>
      </c>
      <c r="C3469" s="1" t="n">
        <v>45227</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58160-2019</t>
        </is>
      </c>
      <c r="B3470" s="1" t="n">
        <v>43769</v>
      </c>
      <c r="C3470" s="1" t="n">
        <v>45227</v>
      </c>
      <c r="D3470" t="inlineStr">
        <is>
          <t>VÄSTRA GÖTALANDS LÄN</t>
        </is>
      </c>
      <c r="E3470" t="inlineStr">
        <is>
          <t>KUNGÄLV</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58992-2019</t>
        </is>
      </c>
      <c r="B3471" s="1" t="n">
        <v>43769</v>
      </c>
      <c r="C3471" s="1" t="n">
        <v>45227</v>
      </c>
      <c r="D3471" t="inlineStr">
        <is>
          <t>VÄSTRA GÖTALANDS LÄN</t>
        </is>
      </c>
      <c r="E3471" t="inlineStr">
        <is>
          <t>FÄRGELANDA</t>
        </is>
      </c>
      <c r="G3471" t="n">
        <v>7</v>
      </c>
      <c r="H3471" t="n">
        <v>0</v>
      </c>
      <c r="I3471" t="n">
        <v>0</v>
      </c>
      <c r="J3471" t="n">
        <v>0</v>
      </c>
      <c r="K3471" t="n">
        <v>0</v>
      </c>
      <c r="L3471" t="n">
        <v>0</v>
      </c>
      <c r="M3471" t="n">
        <v>0</v>
      </c>
      <c r="N3471" t="n">
        <v>0</v>
      </c>
      <c r="O3471" t="n">
        <v>0</v>
      </c>
      <c r="P3471" t="n">
        <v>0</v>
      </c>
      <c r="Q3471" t="n">
        <v>0</v>
      </c>
      <c r="R3471" s="2" t="inlineStr"/>
    </row>
    <row r="3472" ht="15" customHeight="1">
      <c r="A3472" t="inlineStr">
        <is>
          <t>A 57953-2019</t>
        </is>
      </c>
      <c r="B3472" s="1" t="n">
        <v>43769</v>
      </c>
      <c r="C3472" s="1" t="n">
        <v>45227</v>
      </c>
      <c r="D3472" t="inlineStr">
        <is>
          <t>VÄSTRA GÖTALANDS LÄN</t>
        </is>
      </c>
      <c r="E3472" t="inlineStr">
        <is>
          <t>DALS-ED</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58931-2019</t>
        </is>
      </c>
      <c r="B3473" s="1" t="n">
        <v>43769</v>
      </c>
      <c r="C3473" s="1" t="n">
        <v>45227</v>
      </c>
      <c r="D3473" t="inlineStr">
        <is>
          <t>VÄSTRA GÖTALANDS LÄN</t>
        </is>
      </c>
      <c r="E3473" t="inlineStr">
        <is>
          <t>MARK</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59126-2019</t>
        </is>
      </c>
      <c r="B3474" s="1" t="n">
        <v>43769</v>
      </c>
      <c r="C3474" s="1" t="n">
        <v>45227</v>
      </c>
      <c r="D3474" t="inlineStr">
        <is>
          <t>VÄSTRA GÖTALANDS LÄN</t>
        </is>
      </c>
      <c r="E3474" t="inlineStr">
        <is>
          <t>FÄRGELANDA</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58244-2019</t>
        </is>
      </c>
      <c r="B3475" s="1" t="n">
        <v>43770</v>
      </c>
      <c r="C3475" s="1" t="n">
        <v>45227</v>
      </c>
      <c r="D3475" t="inlineStr">
        <is>
          <t>VÄSTRA GÖTALANDS LÄN</t>
        </is>
      </c>
      <c r="E3475" t="inlineStr">
        <is>
          <t>SKARA</t>
        </is>
      </c>
      <c r="F3475" t="inlineStr">
        <is>
          <t>Sveaskog</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59140-2019</t>
        </is>
      </c>
      <c r="B3476" s="1" t="n">
        <v>43770</v>
      </c>
      <c r="C3476" s="1" t="n">
        <v>45227</v>
      </c>
      <c r="D3476" t="inlineStr">
        <is>
          <t>VÄSTRA GÖTALANDS LÄN</t>
        </is>
      </c>
      <c r="E3476" t="inlineStr">
        <is>
          <t>ULRICEHAMN</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59237-2019</t>
        </is>
      </c>
      <c r="B3477" s="1" t="n">
        <v>43770</v>
      </c>
      <c r="C3477" s="1" t="n">
        <v>45227</v>
      </c>
      <c r="D3477" t="inlineStr">
        <is>
          <t>VÄSTRA GÖTALANDS LÄN</t>
        </is>
      </c>
      <c r="E3477" t="inlineStr">
        <is>
          <t>VARA</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58337-2019</t>
        </is>
      </c>
      <c r="B3478" s="1" t="n">
        <v>43770</v>
      </c>
      <c r="C3478" s="1" t="n">
        <v>45227</v>
      </c>
      <c r="D3478" t="inlineStr">
        <is>
          <t>VÄSTRA GÖTALANDS LÄN</t>
        </is>
      </c>
      <c r="E3478" t="inlineStr">
        <is>
          <t>TRANEMO</t>
        </is>
      </c>
      <c r="F3478" t="inlineStr">
        <is>
          <t>Sveaskog</t>
        </is>
      </c>
      <c r="G3478" t="n">
        <v>5.8</v>
      </c>
      <c r="H3478" t="n">
        <v>0</v>
      </c>
      <c r="I3478" t="n">
        <v>0</v>
      </c>
      <c r="J3478" t="n">
        <v>0</v>
      </c>
      <c r="K3478" t="n">
        <v>0</v>
      </c>
      <c r="L3478" t="n">
        <v>0</v>
      </c>
      <c r="M3478" t="n">
        <v>0</v>
      </c>
      <c r="N3478" t="n">
        <v>0</v>
      </c>
      <c r="O3478" t="n">
        <v>0</v>
      </c>
      <c r="P3478" t="n">
        <v>0</v>
      </c>
      <c r="Q3478" t="n">
        <v>0</v>
      </c>
      <c r="R3478" s="2" t="inlineStr"/>
    </row>
    <row r="3479" ht="15" customHeight="1">
      <c r="A3479" t="inlineStr">
        <is>
          <t>A 58211-2019</t>
        </is>
      </c>
      <c r="B3479" s="1" t="n">
        <v>43770</v>
      </c>
      <c r="C3479" s="1" t="n">
        <v>45227</v>
      </c>
      <c r="D3479" t="inlineStr">
        <is>
          <t>VÄSTRA GÖTALANDS LÄN</t>
        </is>
      </c>
      <c r="E3479" t="inlineStr">
        <is>
          <t>MARIESTAD</t>
        </is>
      </c>
      <c r="G3479" t="n">
        <v>11.6</v>
      </c>
      <c r="H3479" t="n">
        <v>0</v>
      </c>
      <c r="I3479" t="n">
        <v>0</v>
      </c>
      <c r="J3479" t="n">
        <v>0</v>
      </c>
      <c r="K3479" t="n">
        <v>0</v>
      </c>
      <c r="L3479" t="n">
        <v>0</v>
      </c>
      <c r="M3479" t="n">
        <v>0</v>
      </c>
      <c r="N3479" t="n">
        <v>0</v>
      </c>
      <c r="O3479" t="n">
        <v>0</v>
      </c>
      <c r="P3479" t="n">
        <v>0</v>
      </c>
      <c r="Q3479" t="n">
        <v>0</v>
      </c>
      <c r="R3479" s="2" t="inlineStr"/>
    </row>
    <row r="3480" ht="15" customHeight="1">
      <c r="A3480" t="inlineStr">
        <is>
          <t>A 58300-2019</t>
        </is>
      </c>
      <c r="B3480" s="1" t="n">
        <v>43770</v>
      </c>
      <c r="C3480" s="1" t="n">
        <v>45227</v>
      </c>
      <c r="D3480" t="inlineStr">
        <is>
          <t>VÄSTRA GÖTALANDS LÄN</t>
        </is>
      </c>
      <c r="E3480" t="inlineStr">
        <is>
          <t>VARA</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58200-2019</t>
        </is>
      </c>
      <c r="B3481" s="1" t="n">
        <v>43770</v>
      </c>
      <c r="C3481" s="1" t="n">
        <v>45227</v>
      </c>
      <c r="D3481" t="inlineStr">
        <is>
          <t>VÄSTRA GÖTALANDS LÄN</t>
        </is>
      </c>
      <c r="E3481" t="inlineStr">
        <is>
          <t>SVENLJUNGA</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58207-2019</t>
        </is>
      </c>
      <c r="B3482" s="1" t="n">
        <v>43770</v>
      </c>
      <c r="C3482" s="1" t="n">
        <v>45227</v>
      </c>
      <c r="D3482" t="inlineStr">
        <is>
          <t>VÄSTRA GÖTALANDS LÄN</t>
        </is>
      </c>
      <c r="E3482" t="inlineStr">
        <is>
          <t>MARIESTAD</t>
        </is>
      </c>
      <c r="G3482" t="n">
        <v>14.6</v>
      </c>
      <c r="H3482" t="n">
        <v>0</v>
      </c>
      <c r="I3482" t="n">
        <v>0</v>
      </c>
      <c r="J3482" t="n">
        <v>0</v>
      </c>
      <c r="K3482" t="n">
        <v>0</v>
      </c>
      <c r="L3482" t="n">
        <v>0</v>
      </c>
      <c r="M3482" t="n">
        <v>0</v>
      </c>
      <c r="N3482" t="n">
        <v>0</v>
      </c>
      <c r="O3482" t="n">
        <v>0</v>
      </c>
      <c r="P3482" t="n">
        <v>0</v>
      </c>
      <c r="Q3482" t="n">
        <v>0</v>
      </c>
      <c r="R3482" s="2" t="inlineStr"/>
    </row>
    <row r="3483" ht="15" customHeight="1">
      <c r="A3483" t="inlineStr">
        <is>
          <t>A 58223-2019</t>
        </is>
      </c>
      <c r="B3483" s="1" t="n">
        <v>43770</v>
      </c>
      <c r="C3483" s="1" t="n">
        <v>45227</v>
      </c>
      <c r="D3483" t="inlineStr">
        <is>
          <t>VÄSTRA GÖTALANDS LÄN</t>
        </is>
      </c>
      <c r="E3483" t="inlineStr">
        <is>
          <t>MARIESTAD</t>
        </is>
      </c>
      <c r="G3483" t="n">
        <v>21.2</v>
      </c>
      <c r="H3483" t="n">
        <v>0</v>
      </c>
      <c r="I3483" t="n">
        <v>0</v>
      </c>
      <c r="J3483" t="n">
        <v>0</v>
      </c>
      <c r="K3483" t="n">
        <v>0</v>
      </c>
      <c r="L3483" t="n">
        <v>0</v>
      </c>
      <c r="M3483" t="n">
        <v>0</v>
      </c>
      <c r="N3483" t="n">
        <v>0</v>
      </c>
      <c r="O3483" t="n">
        <v>0</v>
      </c>
      <c r="P3483" t="n">
        <v>0</v>
      </c>
      <c r="Q3483" t="n">
        <v>0</v>
      </c>
      <c r="R3483" s="2" t="inlineStr"/>
    </row>
    <row r="3484" ht="15" customHeight="1">
      <c r="A3484" t="inlineStr">
        <is>
          <t>A 58315-2019</t>
        </is>
      </c>
      <c r="B3484" s="1" t="n">
        <v>43770</v>
      </c>
      <c r="C3484" s="1" t="n">
        <v>45227</v>
      </c>
      <c r="D3484" t="inlineStr">
        <is>
          <t>VÄSTRA GÖTALANDS LÄN</t>
        </is>
      </c>
      <c r="E3484" t="inlineStr">
        <is>
          <t>MÖLNDAL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59235-2019</t>
        </is>
      </c>
      <c r="B3485" s="1" t="n">
        <v>43770</v>
      </c>
      <c r="C3485" s="1" t="n">
        <v>45227</v>
      </c>
      <c r="D3485" t="inlineStr">
        <is>
          <t>VÄSTRA GÖTALANDS LÄN</t>
        </is>
      </c>
      <c r="E3485" t="inlineStr">
        <is>
          <t>VARA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58384-2019</t>
        </is>
      </c>
      <c r="B3486" s="1" t="n">
        <v>43771</v>
      </c>
      <c r="C3486" s="1" t="n">
        <v>45227</v>
      </c>
      <c r="D3486" t="inlineStr">
        <is>
          <t>VÄSTRA GÖTALANDS LÄN</t>
        </is>
      </c>
      <c r="E3486" t="inlineStr">
        <is>
          <t>MÖLNDAL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58385-2019</t>
        </is>
      </c>
      <c r="B3487" s="1" t="n">
        <v>43771</v>
      </c>
      <c r="C3487" s="1" t="n">
        <v>45227</v>
      </c>
      <c r="D3487" t="inlineStr">
        <is>
          <t>VÄSTRA GÖTALANDS LÄN</t>
        </is>
      </c>
      <c r="E3487" t="inlineStr">
        <is>
          <t>SVENLJUNGA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58401-2019</t>
        </is>
      </c>
      <c r="B3488" s="1" t="n">
        <v>43772</v>
      </c>
      <c r="C3488" s="1" t="n">
        <v>45227</v>
      </c>
      <c r="D3488" t="inlineStr">
        <is>
          <t>VÄSTRA GÖTALANDS LÄN</t>
        </is>
      </c>
      <c r="E3488" t="inlineStr">
        <is>
          <t>SKÖVDE</t>
        </is>
      </c>
      <c r="F3488" t="inlineStr">
        <is>
          <t>Övriga statliga verk och myndigheter</t>
        </is>
      </c>
      <c r="G3488" t="n">
        <v>7.7</v>
      </c>
      <c r="H3488" t="n">
        <v>0</v>
      </c>
      <c r="I3488" t="n">
        <v>0</v>
      </c>
      <c r="J3488" t="n">
        <v>0</v>
      </c>
      <c r="K3488" t="n">
        <v>0</v>
      </c>
      <c r="L3488" t="n">
        <v>0</v>
      </c>
      <c r="M3488" t="n">
        <v>0</v>
      </c>
      <c r="N3488" t="n">
        <v>0</v>
      </c>
      <c r="O3488" t="n">
        <v>0</v>
      </c>
      <c r="P3488" t="n">
        <v>0</v>
      </c>
      <c r="Q3488" t="n">
        <v>0</v>
      </c>
      <c r="R3488" s="2" t="inlineStr"/>
    </row>
    <row r="3489" ht="15" customHeight="1">
      <c r="A3489" t="inlineStr">
        <is>
          <t>A 58413-2019</t>
        </is>
      </c>
      <c r="B3489" s="1" t="n">
        <v>43772</v>
      </c>
      <c r="C3489" s="1" t="n">
        <v>45227</v>
      </c>
      <c r="D3489" t="inlineStr">
        <is>
          <t>VÄSTRA GÖTALANDS LÄN</t>
        </is>
      </c>
      <c r="E3489" t="inlineStr">
        <is>
          <t>GULLSPÅNG</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58402-2019</t>
        </is>
      </c>
      <c r="B3490" s="1" t="n">
        <v>43772</v>
      </c>
      <c r="C3490" s="1" t="n">
        <v>45227</v>
      </c>
      <c r="D3490" t="inlineStr">
        <is>
          <t>VÄSTRA GÖTALANDS LÄN</t>
        </is>
      </c>
      <c r="E3490" t="inlineStr">
        <is>
          <t>SKÖVDE</t>
        </is>
      </c>
      <c r="F3490" t="inlineStr">
        <is>
          <t>Övriga statliga verk och myndigheter</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58692-2019</t>
        </is>
      </c>
      <c r="B3491" s="1" t="n">
        <v>43773</v>
      </c>
      <c r="C3491" s="1" t="n">
        <v>45227</v>
      </c>
      <c r="D3491" t="inlineStr">
        <is>
          <t>VÄSTRA GÖTALANDS LÄN</t>
        </is>
      </c>
      <c r="E3491" t="inlineStr">
        <is>
          <t>LIDKÖPING</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58766-2019</t>
        </is>
      </c>
      <c r="B3492" s="1" t="n">
        <v>43773</v>
      </c>
      <c r="C3492" s="1" t="n">
        <v>45227</v>
      </c>
      <c r="D3492" t="inlineStr">
        <is>
          <t>VÄSTRA GÖTALANDS LÄN</t>
        </is>
      </c>
      <c r="E3492" t="inlineStr">
        <is>
          <t>LIDKÖPING</t>
        </is>
      </c>
      <c r="G3492" t="n">
        <v>0.3</v>
      </c>
      <c r="H3492" t="n">
        <v>0</v>
      </c>
      <c r="I3492" t="n">
        <v>0</v>
      </c>
      <c r="J3492" t="n">
        <v>0</v>
      </c>
      <c r="K3492" t="n">
        <v>0</v>
      </c>
      <c r="L3492" t="n">
        <v>0</v>
      </c>
      <c r="M3492" t="n">
        <v>0</v>
      </c>
      <c r="N3492" t="n">
        <v>0</v>
      </c>
      <c r="O3492" t="n">
        <v>0</v>
      </c>
      <c r="P3492" t="n">
        <v>0</v>
      </c>
      <c r="Q3492" t="n">
        <v>0</v>
      </c>
      <c r="R3492" s="2" t="inlineStr"/>
    </row>
    <row r="3493" ht="15" customHeight="1">
      <c r="A3493" t="inlineStr">
        <is>
          <t>A 59265-2019</t>
        </is>
      </c>
      <c r="B3493" s="1" t="n">
        <v>43773</v>
      </c>
      <c r="C3493" s="1" t="n">
        <v>45227</v>
      </c>
      <c r="D3493" t="inlineStr">
        <is>
          <t>VÄSTRA GÖTALANDS LÄN</t>
        </is>
      </c>
      <c r="E3493" t="inlineStr">
        <is>
          <t>TRANEMO</t>
        </is>
      </c>
      <c r="G3493" t="n">
        <v>6.9</v>
      </c>
      <c r="H3493" t="n">
        <v>0</v>
      </c>
      <c r="I3493" t="n">
        <v>0</v>
      </c>
      <c r="J3493" t="n">
        <v>0</v>
      </c>
      <c r="K3493" t="n">
        <v>0</v>
      </c>
      <c r="L3493" t="n">
        <v>0</v>
      </c>
      <c r="M3493" t="n">
        <v>0</v>
      </c>
      <c r="N3493" t="n">
        <v>0</v>
      </c>
      <c r="O3493" t="n">
        <v>0</v>
      </c>
      <c r="P3493" t="n">
        <v>0</v>
      </c>
      <c r="Q3493" t="n">
        <v>0</v>
      </c>
      <c r="R3493" s="2" t="inlineStr"/>
    </row>
    <row r="3494" ht="15" customHeight="1">
      <c r="A3494" t="inlineStr">
        <is>
          <t>A 58638-2019</t>
        </is>
      </c>
      <c r="B3494" s="1" t="n">
        <v>43773</v>
      </c>
      <c r="C3494" s="1" t="n">
        <v>45227</v>
      </c>
      <c r="D3494" t="inlineStr">
        <is>
          <t>VÄSTRA GÖTALANDS LÄN</t>
        </is>
      </c>
      <c r="E3494" t="inlineStr">
        <is>
          <t>LIDKÖPING</t>
        </is>
      </c>
      <c r="G3494" t="n">
        <v>8.300000000000001</v>
      </c>
      <c r="H3494" t="n">
        <v>0</v>
      </c>
      <c r="I3494" t="n">
        <v>0</v>
      </c>
      <c r="J3494" t="n">
        <v>0</v>
      </c>
      <c r="K3494" t="n">
        <v>0</v>
      </c>
      <c r="L3494" t="n">
        <v>0</v>
      </c>
      <c r="M3494" t="n">
        <v>0</v>
      </c>
      <c r="N3494" t="n">
        <v>0</v>
      </c>
      <c r="O3494" t="n">
        <v>0</v>
      </c>
      <c r="P3494" t="n">
        <v>0</v>
      </c>
      <c r="Q3494" t="n">
        <v>0</v>
      </c>
      <c r="R3494" s="2" t="inlineStr"/>
    </row>
    <row r="3495" ht="15" customHeight="1">
      <c r="A3495" t="inlineStr">
        <is>
          <t>A 58696-2019</t>
        </is>
      </c>
      <c r="B3495" s="1" t="n">
        <v>43773</v>
      </c>
      <c r="C3495" s="1" t="n">
        <v>45227</v>
      </c>
      <c r="D3495" t="inlineStr">
        <is>
          <t>VÄSTRA GÖTALANDS LÄN</t>
        </is>
      </c>
      <c r="E3495" t="inlineStr">
        <is>
          <t>LIDKÖPING</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59507-2019</t>
        </is>
      </c>
      <c r="B3496" s="1" t="n">
        <v>43773</v>
      </c>
      <c r="C3496" s="1" t="n">
        <v>45227</v>
      </c>
      <c r="D3496" t="inlineStr">
        <is>
          <t>VÄSTRA GÖTALANDS LÄN</t>
        </is>
      </c>
      <c r="E3496" t="inlineStr">
        <is>
          <t>LILLA EDET</t>
        </is>
      </c>
      <c r="F3496" t="inlineStr">
        <is>
          <t>Kyrkan</t>
        </is>
      </c>
      <c r="G3496" t="n">
        <v>12.9</v>
      </c>
      <c r="H3496" t="n">
        <v>0</v>
      </c>
      <c r="I3496" t="n">
        <v>0</v>
      </c>
      <c r="J3496" t="n">
        <v>0</v>
      </c>
      <c r="K3496" t="n">
        <v>0</v>
      </c>
      <c r="L3496" t="n">
        <v>0</v>
      </c>
      <c r="M3496" t="n">
        <v>0</v>
      </c>
      <c r="N3496" t="n">
        <v>0</v>
      </c>
      <c r="O3496" t="n">
        <v>0</v>
      </c>
      <c r="P3496" t="n">
        <v>0</v>
      </c>
      <c r="Q3496" t="n">
        <v>0</v>
      </c>
      <c r="R3496" s="2" t="inlineStr"/>
    </row>
    <row r="3497" ht="15" customHeight="1">
      <c r="A3497" t="inlineStr">
        <is>
          <t>A 58469-2019</t>
        </is>
      </c>
      <c r="B3497" s="1" t="n">
        <v>43773</v>
      </c>
      <c r="C3497" s="1" t="n">
        <v>45227</v>
      </c>
      <c r="D3497" t="inlineStr">
        <is>
          <t>VÄSTRA GÖTALANDS LÄN</t>
        </is>
      </c>
      <c r="E3497" t="inlineStr">
        <is>
          <t>SVENLJUNGA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58498-2019</t>
        </is>
      </c>
      <c r="B3498" s="1" t="n">
        <v>43773</v>
      </c>
      <c r="C3498" s="1" t="n">
        <v>45227</v>
      </c>
      <c r="D3498" t="inlineStr">
        <is>
          <t>VÄSTRA GÖTALANDS LÄN</t>
        </is>
      </c>
      <c r="E3498" t="inlineStr">
        <is>
          <t>SKÖVDE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58611-2019</t>
        </is>
      </c>
      <c r="B3499" s="1" t="n">
        <v>43773</v>
      </c>
      <c r="C3499" s="1" t="n">
        <v>45227</v>
      </c>
      <c r="D3499" t="inlineStr">
        <is>
          <t>VÄSTRA GÖTALANDS LÄN</t>
        </is>
      </c>
      <c r="E3499" t="inlineStr">
        <is>
          <t>BORÅS</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58691-2019</t>
        </is>
      </c>
      <c r="B3500" s="1" t="n">
        <v>43773</v>
      </c>
      <c r="C3500" s="1" t="n">
        <v>45227</v>
      </c>
      <c r="D3500" t="inlineStr">
        <is>
          <t>VÄSTRA GÖTALANDS LÄN</t>
        </is>
      </c>
      <c r="E3500" t="inlineStr">
        <is>
          <t>HJO</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58698-2019</t>
        </is>
      </c>
      <c r="B3501" s="1" t="n">
        <v>43773</v>
      </c>
      <c r="C3501" s="1" t="n">
        <v>45227</v>
      </c>
      <c r="D3501" t="inlineStr">
        <is>
          <t>VÄSTRA GÖTALANDS LÄN</t>
        </is>
      </c>
      <c r="E3501" t="inlineStr">
        <is>
          <t>LIDKÖPING</t>
        </is>
      </c>
      <c r="G3501" t="n">
        <v>1.4</v>
      </c>
      <c r="H3501" t="n">
        <v>0</v>
      </c>
      <c r="I3501" t="n">
        <v>0</v>
      </c>
      <c r="J3501" t="n">
        <v>0</v>
      </c>
      <c r="K3501" t="n">
        <v>0</v>
      </c>
      <c r="L3501" t="n">
        <v>0</v>
      </c>
      <c r="M3501" t="n">
        <v>0</v>
      </c>
      <c r="N3501" t="n">
        <v>0</v>
      </c>
      <c r="O3501" t="n">
        <v>0</v>
      </c>
      <c r="P3501" t="n">
        <v>0</v>
      </c>
      <c r="Q3501" t="n">
        <v>0</v>
      </c>
      <c r="R3501" s="2" t="inlineStr"/>
    </row>
    <row r="3502" ht="15" customHeight="1">
      <c r="A3502" t="inlineStr">
        <is>
          <t>A 58763-2019</t>
        </is>
      </c>
      <c r="B3502" s="1" t="n">
        <v>43773</v>
      </c>
      <c r="C3502" s="1" t="n">
        <v>45227</v>
      </c>
      <c r="D3502" t="inlineStr">
        <is>
          <t>VÄSTRA GÖTALANDS LÄN</t>
        </is>
      </c>
      <c r="E3502" t="inlineStr">
        <is>
          <t>TRANEMO</t>
        </is>
      </c>
      <c r="F3502" t="inlineStr">
        <is>
          <t>Kyrkan</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58462-2019</t>
        </is>
      </c>
      <c r="B3503" s="1" t="n">
        <v>43773</v>
      </c>
      <c r="C3503" s="1" t="n">
        <v>45227</v>
      </c>
      <c r="D3503" t="inlineStr">
        <is>
          <t>VÄSTRA GÖTALANDS LÄN</t>
        </is>
      </c>
      <c r="E3503" t="inlineStr">
        <is>
          <t>TROLLHÄTTAN</t>
        </is>
      </c>
      <c r="G3503" t="n">
        <v>6.7</v>
      </c>
      <c r="H3503" t="n">
        <v>0</v>
      </c>
      <c r="I3503" t="n">
        <v>0</v>
      </c>
      <c r="J3503" t="n">
        <v>0</v>
      </c>
      <c r="K3503" t="n">
        <v>0</v>
      </c>
      <c r="L3503" t="n">
        <v>0</v>
      </c>
      <c r="M3503" t="n">
        <v>0</v>
      </c>
      <c r="N3503" t="n">
        <v>0</v>
      </c>
      <c r="O3503" t="n">
        <v>0</v>
      </c>
      <c r="P3503" t="n">
        <v>0</v>
      </c>
      <c r="Q3503" t="n">
        <v>0</v>
      </c>
      <c r="R3503" s="2" t="inlineStr"/>
    </row>
    <row r="3504" ht="15" customHeight="1">
      <c r="A3504" t="inlineStr">
        <is>
          <t>A 58853-2019</t>
        </is>
      </c>
      <c r="B3504" s="1" t="n">
        <v>43774</v>
      </c>
      <c r="C3504" s="1" t="n">
        <v>45227</v>
      </c>
      <c r="D3504" t="inlineStr">
        <is>
          <t>VÄSTRA GÖTALANDS LÄN</t>
        </is>
      </c>
      <c r="E3504" t="inlineStr">
        <is>
          <t>HJO</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58871-2019</t>
        </is>
      </c>
      <c r="B3505" s="1" t="n">
        <v>43774</v>
      </c>
      <c r="C3505" s="1" t="n">
        <v>45227</v>
      </c>
      <c r="D3505" t="inlineStr">
        <is>
          <t>VÄSTRA GÖTALANDS LÄN</t>
        </is>
      </c>
      <c r="E3505" t="inlineStr">
        <is>
          <t>SKARA</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58972-2019</t>
        </is>
      </c>
      <c r="B3506" s="1" t="n">
        <v>43774</v>
      </c>
      <c r="C3506" s="1" t="n">
        <v>45227</v>
      </c>
      <c r="D3506" t="inlineStr">
        <is>
          <t>VÄSTRA GÖTALANDS LÄN</t>
        </is>
      </c>
      <c r="E3506" t="inlineStr">
        <is>
          <t>BENGTSFORS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59800-2019</t>
        </is>
      </c>
      <c r="B3507" s="1" t="n">
        <v>43774</v>
      </c>
      <c r="C3507" s="1" t="n">
        <v>45227</v>
      </c>
      <c r="D3507" t="inlineStr">
        <is>
          <t>VÄSTRA GÖTALANDS LÄN</t>
        </is>
      </c>
      <c r="E3507" t="inlineStr">
        <is>
          <t>FALKÖPING</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59836-2019</t>
        </is>
      </c>
      <c r="B3508" s="1" t="n">
        <v>43774</v>
      </c>
      <c r="C3508" s="1" t="n">
        <v>45227</v>
      </c>
      <c r="D3508" t="inlineStr">
        <is>
          <t>VÄSTRA GÖTALANDS LÄN</t>
        </is>
      </c>
      <c r="E3508" t="inlineStr">
        <is>
          <t>ULRICEHAMN</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58976-2019</t>
        </is>
      </c>
      <c r="B3509" s="1" t="n">
        <v>43774</v>
      </c>
      <c r="C3509" s="1" t="n">
        <v>45227</v>
      </c>
      <c r="D3509" t="inlineStr">
        <is>
          <t>VÄSTRA GÖTALANDS LÄN</t>
        </is>
      </c>
      <c r="E3509" t="inlineStr">
        <is>
          <t>FÄRGELANDA</t>
        </is>
      </c>
      <c r="G3509" t="n">
        <v>25.8</v>
      </c>
      <c r="H3509" t="n">
        <v>0</v>
      </c>
      <c r="I3509" t="n">
        <v>0</v>
      </c>
      <c r="J3509" t="n">
        <v>0</v>
      </c>
      <c r="K3509" t="n">
        <v>0</v>
      </c>
      <c r="L3509" t="n">
        <v>0</v>
      </c>
      <c r="M3509" t="n">
        <v>0</v>
      </c>
      <c r="N3509" t="n">
        <v>0</v>
      </c>
      <c r="O3509" t="n">
        <v>0</v>
      </c>
      <c r="P3509" t="n">
        <v>0</v>
      </c>
      <c r="Q3509" t="n">
        <v>0</v>
      </c>
      <c r="R3509" s="2" t="inlineStr"/>
    </row>
    <row r="3510" ht="15" customHeight="1">
      <c r="A3510" t="inlineStr">
        <is>
          <t>A 59888-2019</t>
        </is>
      </c>
      <c r="B3510" s="1" t="n">
        <v>43774</v>
      </c>
      <c r="C3510" s="1" t="n">
        <v>45227</v>
      </c>
      <c r="D3510" t="inlineStr">
        <is>
          <t>VÄSTRA GÖTALANDS LÄN</t>
        </is>
      </c>
      <c r="E3510" t="inlineStr">
        <is>
          <t>SKÖVDE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58964-2019</t>
        </is>
      </c>
      <c r="B3511" s="1" t="n">
        <v>43774</v>
      </c>
      <c r="C3511" s="1" t="n">
        <v>45227</v>
      </c>
      <c r="D3511" t="inlineStr">
        <is>
          <t>VÄSTRA GÖTALANDS LÄN</t>
        </is>
      </c>
      <c r="E3511" t="inlineStr">
        <is>
          <t>BENGTSFORS</t>
        </is>
      </c>
      <c r="G3511" t="n">
        <v>5.5</v>
      </c>
      <c r="H3511" t="n">
        <v>0</v>
      </c>
      <c r="I3511" t="n">
        <v>0</v>
      </c>
      <c r="J3511" t="n">
        <v>0</v>
      </c>
      <c r="K3511" t="n">
        <v>0</v>
      </c>
      <c r="L3511" t="n">
        <v>0</v>
      </c>
      <c r="M3511" t="n">
        <v>0</v>
      </c>
      <c r="N3511" t="n">
        <v>0</v>
      </c>
      <c r="O3511" t="n">
        <v>0</v>
      </c>
      <c r="P3511" t="n">
        <v>0</v>
      </c>
      <c r="Q3511" t="n">
        <v>0</v>
      </c>
      <c r="R3511" s="2" t="inlineStr"/>
    </row>
    <row r="3512" ht="15" customHeight="1">
      <c r="A3512" t="inlineStr">
        <is>
          <t>A 58907-2019</t>
        </is>
      </c>
      <c r="B3512" s="1" t="n">
        <v>43774</v>
      </c>
      <c r="C3512" s="1" t="n">
        <v>45227</v>
      </c>
      <c r="D3512" t="inlineStr">
        <is>
          <t>VÄSTRA GÖTALANDS LÄN</t>
        </is>
      </c>
      <c r="E3512" t="inlineStr">
        <is>
          <t>ALINGSÅS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58998-2019</t>
        </is>
      </c>
      <c r="B3513" s="1" t="n">
        <v>43774</v>
      </c>
      <c r="C3513" s="1" t="n">
        <v>45227</v>
      </c>
      <c r="D3513" t="inlineStr">
        <is>
          <t>VÄSTRA GÖTALANDS LÄN</t>
        </is>
      </c>
      <c r="E3513" t="inlineStr">
        <is>
          <t>TROLLHÄTTAN</t>
        </is>
      </c>
      <c r="G3513" t="n">
        <v>10.4</v>
      </c>
      <c r="H3513" t="n">
        <v>0</v>
      </c>
      <c r="I3513" t="n">
        <v>0</v>
      </c>
      <c r="J3513" t="n">
        <v>0</v>
      </c>
      <c r="K3513" t="n">
        <v>0</v>
      </c>
      <c r="L3513" t="n">
        <v>0</v>
      </c>
      <c r="M3513" t="n">
        <v>0</v>
      </c>
      <c r="N3513" t="n">
        <v>0</v>
      </c>
      <c r="O3513" t="n">
        <v>0</v>
      </c>
      <c r="P3513" t="n">
        <v>0</v>
      </c>
      <c r="Q3513" t="n">
        <v>0</v>
      </c>
      <c r="R3513" s="2" t="inlineStr"/>
    </row>
    <row r="3514" ht="15" customHeight="1">
      <c r="A3514" t="inlineStr">
        <is>
          <t>A 59799-2019</t>
        </is>
      </c>
      <c r="B3514" s="1" t="n">
        <v>43774</v>
      </c>
      <c r="C3514" s="1" t="n">
        <v>45227</v>
      </c>
      <c r="D3514" t="inlineStr">
        <is>
          <t>VÄSTRA GÖTALANDS LÄN</t>
        </is>
      </c>
      <c r="E3514" t="inlineStr">
        <is>
          <t>ULRICEHAMN</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59829-2019</t>
        </is>
      </c>
      <c r="B3515" s="1" t="n">
        <v>43774</v>
      </c>
      <c r="C3515" s="1" t="n">
        <v>45227</v>
      </c>
      <c r="D3515" t="inlineStr">
        <is>
          <t>VÄSTRA GÖTALANDS LÄN</t>
        </is>
      </c>
      <c r="E3515" t="inlineStr">
        <is>
          <t>SKARA</t>
        </is>
      </c>
      <c r="G3515" t="n">
        <v>0.5</v>
      </c>
      <c r="H3515" t="n">
        <v>0</v>
      </c>
      <c r="I3515" t="n">
        <v>0</v>
      </c>
      <c r="J3515" t="n">
        <v>0</v>
      </c>
      <c r="K3515" t="n">
        <v>0</v>
      </c>
      <c r="L3515" t="n">
        <v>0</v>
      </c>
      <c r="M3515" t="n">
        <v>0</v>
      </c>
      <c r="N3515" t="n">
        <v>0</v>
      </c>
      <c r="O3515" t="n">
        <v>0</v>
      </c>
      <c r="P3515" t="n">
        <v>0</v>
      </c>
      <c r="Q3515" t="n">
        <v>0</v>
      </c>
      <c r="R3515" s="2" t="inlineStr"/>
    </row>
    <row r="3516" ht="15" customHeight="1">
      <c r="A3516" t="inlineStr">
        <is>
          <t>A 59215-2019</t>
        </is>
      </c>
      <c r="B3516" s="1" t="n">
        <v>43775</v>
      </c>
      <c r="C3516" s="1" t="n">
        <v>45227</v>
      </c>
      <c r="D3516" t="inlineStr">
        <is>
          <t>VÄSTRA GÖTALANDS LÄN</t>
        </is>
      </c>
      <c r="E3516" t="inlineStr">
        <is>
          <t>BENGTSFORS</t>
        </is>
      </c>
      <c r="F3516" t="inlineStr">
        <is>
          <t>Övriga Aktiebolag</t>
        </is>
      </c>
      <c r="G3516" t="n">
        <v>9.1</v>
      </c>
      <c r="H3516" t="n">
        <v>0</v>
      </c>
      <c r="I3516" t="n">
        <v>0</v>
      </c>
      <c r="J3516" t="n">
        <v>0</v>
      </c>
      <c r="K3516" t="n">
        <v>0</v>
      </c>
      <c r="L3516" t="n">
        <v>0</v>
      </c>
      <c r="M3516" t="n">
        <v>0</v>
      </c>
      <c r="N3516" t="n">
        <v>0</v>
      </c>
      <c r="O3516" t="n">
        <v>0</v>
      </c>
      <c r="P3516" t="n">
        <v>0</v>
      </c>
      <c r="Q3516" t="n">
        <v>0</v>
      </c>
      <c r="R3516" s="2" t="inlineStr"/>
    </row>
    <row r="3517" ht="15" customHeight="1">
      <c r="A3517" t="inlineStr">
        <is>
          <t>A 59233-2019</t>
        </is>
      </c>
      <c r="B3517" s="1" t="n">
        <v>43775</v>
      </c>
      <c r="C3517" s="1" t="n">
        <v>45227</v>
      </c>
      <c r="D3517" t="inlineStr">
        <is>
          <t>VÄSTRA GÖTALANDS LÄN</t>
        </is>
      </c>
      <c r="E3517" t="inlineStr">
        <is>
          <t>BOLLEBYGD</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59390-2019</t>
        </is>
      </c>
      <c r="B3518" s="1" t="n">
        <v>43775</v>
      </c>
      <c r="C3518" s="1" t="n">
        <v>45227</v>
      </c>
      <c r="D3518" t="inlineStr">
        <is>
          <t>VÄSTRA GÖTALANDS LÄN</t>
        </is>
      </c>
      <c r="E3518" t="inlineStr">
        <is>
          <t>KUNGÄLV</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59941-2019</t>
        </is>
      </c>
      <c r="B3519" s="1" t="n">
        <v>43775</v>
      </c>
      <c r="C3519" s="1" t="n">
        <v>45227</v>
      </c>
      <c r="D3519" t="inlineStr">
        <is>
          <t>VÄSTRA GÖTALANDS LÄN</t>
        </is>
      </c>
      <c r="E3519" t="inlineStr">
        <is>
          <t>STENUNGSUND</t>
        </is>
      </c>
      <c r="G3519" t="n">
        <v>5.8</v>
      </c>
      <c r="H3519" t="n">
        <v>0</v>
      </c>
      <c r="I3519" t="n">
        <v>0</v>
      </c>
      <c r="J3519" t="n">
        <v>0</v>
      </c>
      <c r="K3519" t="n">
        <v>0</v>
      </c>
      <c r="L3519" t="n">
        <v>0</v>
      </c>
      <c r="M3519" t="n">
        <v>0</v>
      </c>
      <c r="N3519" t="n">
        <v>0</v>
      </c>
      <c r="O3519" t="n">
        <v>0</v>
      </c>
      <c r="P3519" t="n">
        <v>0</v>
      </c>
      <c r="Q3519" t="n">
        <v>0</v>
      </c>
      <c r="R3519" s="2" t="inlineStr"/>
    </row>
    <row r="3520" ht="15" customHeight="1">
      <c r="A3520" t="inlineStr">
        <is>
          <t>A 59963-2019</t>
        </is>
      </c>
      <c r="B3520" s="1" t="n">
        <v>43775</v>
      </c>
      <c r="C3520" s="1" t="n">
        <v>45227</v>
      </c>
      <c r="D3520" t="inlineStr">
        <is>
          <t>VÄSTRA GÖTALANDS LÄN</t>
        </is>
      </c>
      <c r="E3520" t="inlineStr">
        <is>
          <t>TÖREBODA</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60293-2019</t>
        </is>
      </c>
      <c r="B3521" s="1" t="n">
        <v>43776</v>
      </c>
      <c r="C3521" s="1" t="n">
        <v>45227</v>
      </c>
      <c r="D3521" t="inlineStr">
        <is>
          <t>VÄSTRA GÖTALANDS LÄN</t>
        </is>
      </c>
      <c r="E3521" t="inlineStr">
        <is>
          <t>ÅMÅL</t>
        </is>
      </c>
      <c r="F3521" t="inlineStr">
        <is>
          <t>Bergvik skog väst AB</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60205-2019</t>
        </is>
      </c>
      <c r="B3522" s="1" t="n">
        <v>43776</v>
      </c>
      <c r="C3522" s="1" t="n">
        <v>45227</v>
      </c>
      <c r="D3522" t="inlineStr">
        <is>
          <t>VÄSTRA GÖTALANDS LÄN</t>
        </is>
      </c>
      <c r="E3522" t="inlineStr">
        <is>
          <t>TÖREBODA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60276-2019</t>
        </is>
      </c>
      <c r="B3523" s="1" t="n">
        <v>43776</v>
      </c>
      <c r="C3523" s="1" t="n">
        <v>45227</v>
      </c>
      <c r="D3523" t="inlineStr">
        <is>
          <t>VÄSTRA GÖTALANDS LÄN</t>
        </is>
      </c>
      <c r="E3523" t="inlineStr">
        <is>
          <t>DALS-ED</t>
        </is>
      </c>
      <c r="F3523" t="inlineStr">
        <is>
          <t>Kyrkan</t>
        </is>
      </c>
      <c r="G3523" t="n">
        <v>4.9</v>
      </c>
      <c r="H3523" t="n">
        <v>0</v>
      </c>
      <c r="I3523" t="n">
        <v>0</v>
      </c>
      <c r="J3523" t="n">
        <v>0</v>
      </c>
      <c r="K3523" t="n">
        <v>0</v>
      </c>
      <c r="L3523" t="n">
        <v>0</v>
      </c>
      <c r="M3523" t="n">
        <v>0</v>
      </c>
      <c r="N3523" t="n">
        <v>0</v>
      </c>
      <c r="O3523" t="n">
        <v>0</v>
      </c>
      <c r="P3523" t="n">
        <v>0</v>
      </c>
      <c r="Q3523" t="n">
        <v>0</v>
      </c>
      <c r="R3523" s="2" t="inlineStr"/>
    </row>
    <row r="3524" ht="15" customHeight="1">
      <c r="A3524" t="inlineStr">
        <is>
          <t>A 59548-2019</t>
        </is>
      </c>
      <c r="B3524" s="1" t="n">
        <v>43776</v>
      </c>
      <c r="C3524" s="1" t="n">
        <v>45227</v>
      </c>
      <c r="D3524" t="inlineStr">
        <is>
          <t>VÄSTRA GÖTALANDS LÄN</t>
        </is>
      </c>
      <c r="E3524" t="inlineStr">
        <is>
          <t>BENGTSFORS</t>
        </is>
      </c>
      <c r="G3524" t="n">
        <v>5.2</v>
      </c>
      <c r="H3524" t="n">
        <v>0</v>
      </c>
      <c r="I3524" t="n">
        <v>0</v>
      </c>
      <c r="J3524" t="n">
        <v>0</v>
      </c>
      <c r="K3524" t="n">
        <v>0</v>
      </c>
      <c r="L3524" t="n">
        <v>0</v>
      </c>
      <c r="M3524" t="n">
        <v>0</v>
      </c>
      <c r="N3524" t="n">
        <v>0</v>
      </c>
      <c r="O3524" t="n">
        <v>0</v>
      </c>
      <c r="P3524" t="n">
        <v>0</v>
      </c>
      <c r="Q3524" t="n">
        <v>0</v>
      </c>
      <c r="R3524" s="2" t="inlineStr"/>
    </row>
    <row r="3525" ht="15" customHeight="1">
      <c r="A3525" t="inlineStr">
        <is>
          <t>A 59735-2019</t>
        </is>
      </c>
      <c r="B3525" s="1" t="n">
        <v>43776</v>
      </c>
      <c r="C3525" s="1" t="n">
        <v>45227</v>
      </c>
      <c r="D3525" t="inlineStr">
        <is>
          <t>VÄSTRA GÖTALANDS LÄN</t>
        </is>
      </c>
      <c r="E3525" t="inlineStr">
        <is>
          <t>ALE</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60286-2019</t>
        </is>
      </c>
      <c r="B3526" s="1" t="n">
        <v>43776</v>
      </c>
      <c r="C3526" s="1" t="n">
        <v>45227</v>
      </c>
      <c r="D3526" t="inlineStr">
        <is>
          <t>VÄSTRA GÖTALANDS LÄN</t>
        </is>
      </c>
      <c r="E3526" t="inlineStr">
        <is>
          <t>LYSEKIL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60096-2019</t>
        </is>
      </c>
      <c r="B3527" s="1" t="n">
        <v>43777</v>
      </c>
      <c r="C3527" s="1" t="n">
        <v>45227</v>
      </c>
      <c r="D3527" t="inlineStr">
        <is>
          <t>VÄSTRA GÖTALANDS LÄN</t>
        </is>
      </c>
      <c r="E3527" t="inlineStr">
        <is>
          <t>SKÖVDE</t>
        </is>
      </c>
      <c r="F3527" t="inlineStr">
        <is>
          <t>Övriga statliga verk och myndigheter</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59796-2019</t>
        </is>
      </c>
      <c r="B3528" s="1" t="n">
        <v>43777</v>
      </c>
      <c r="C3528" s="1" t="n">
        <v>45227</v>
      </c>
      <c r="D3528" t="inlineStr">
        <is>
          <t>VÄSTRA GÖTALANDS LÄN</t>
        </is>
      </c>
      <c r="E3528" t="inlineStr">
        <is>
          <t>LIDKÖPING</t>
        </is>
      </c>
      <c r="F3528" t="inlineStr">
        <is>
          <t>Kyrkan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59952-2019</t>
        </is>
      </c>
      <c r="B3529" s="1" t="n">
        <v>43777</v>
      </c>
      <c r="C3529" s="1" t="n">
        <v>45227</v>
      </c>
      <c r="D3529" t="inlineStr">
        <is>
          <t>VÄSTRA GÖTALANDS LÄN</t>
        </is>
      </c>
      <c r="E3529" t="inlineStr">
        <is>
          <t>BENGTSFORS</t>
        </is>
      </c>
      <c r="G3529" t="n">
        <v>6.1</v>
      </c>
      <c r="H3529" t="n">
        <v>0</v>
      </c>
      <c r="I3529" t="n">
        <v>0</v>
      </c>
      <c r="J3529" t="n">
        <v>0</v>
      </c>
      <c r="K3529" t="n">
        <v>0</v>
      </c>
      <c r="L3529" t="n">
        <v>0</v>
      </c>
      <c r="M3529" t="n">
        <v>0</v>
      </c>
      <c r="N3529" t="n">
        <v>0</v>
      </c>
      <c r="O3529" t="n">
        <v>0</v>
      </c>
      <c r="P3529" t="n">
        <v>0</v>
      </c>
      <c r="Q3529" t="n">
        <v>0</v>
      </c>
      <c r="R3529" s="2" t="inlineStr"/>
    </row>
    <row r="3530" ht="15" customHeight="1">
      <c r="A3530" t="inlineStr">
        <is>
          <t>A 60098-2019</t>
        </is>
      </c>
      <c r="B3530" s="1" t="n">
        <v>43777</v>
      </c>
      <c r="C3530" s="1" t="n">
        <v>45227</v>
      </c>
      <c r="D3530" t="inlineStr">
        <is>
          <t>VÄSTRA GÖTALANDS LÄN</t>
        </is>
      </c>
      <c r="E3530" t="inlineStr">
        <is>
          <t>SKÖVDE</t>
        </is>
      </c>
      <c r="F3530" t="inlineStr">
        <is>
          <t>Övriga statliga verk och myndigheter</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60027-2019</t>
        </is>
      </c>
      <c r="B3531" s="1" t="n">
        <v>43777</v>
      </c>
      <c r="C3531" s="1" t="n">
        <v>45227</v>
      </c>
      <c r="D3531" t="inlineStr">
        <is>
          <t>VÄSTRA GÖTALANDS LÄN</t>
        </is>
      </c>
      <c r="E3531" t="inlineStr">
        <is>
          <t>MELLERUD</t>
        </is>
      </c>
      <c r="G3531" t="n">
        <v>3.6</v>
      </c>
      <c r="H3531" t="n">
        <v>0</v>
      </c>
      <c r="I3531" t="n">
        <v>0</v>
      </c>
      <c r="J3531" t="n">
        <v>0</v>
      </c>
      <c r="K3531" t="n">
        <v>0</v>
      </c>
      <c r="L3531" t="n">
        <v>0</v>
      </c>
      <c r="M3531" t="n">
        <v>0</v>
      </c>
      <c r="N3531" t="n">
        <v>0</v>
      </c>
      <c r="O3531" t="n">
        <v>0</v>
      </c>
      <c r="P3531" t="n">
        <v>0</v>
      </c>
      <c r="Q3531" t="n">
        <v>0</v>
      </c>
      <c r="R3531" s="2" t="inlineStr"/>
    </row>
    <row r="3532" ht="15" customHeight="1">
      <c r="A3532" t="inlineStr">
        <is>
          <t>A 59802-2019</t>
        </is>
      </c>
      <c r="B3532" s="1" t="n">
        <v>43777</v>
      </c>
      <c r="C3532" s="1" t="n">
        <v>45227</v>
      </c>
      <c r="D3532" t="inlineStr">
        <is>
          <t>VÄSTRA GÖTALANDS LÄN</t>
        </is>
      </c>
      <c r="E3532" t="inlineStr">
        <is>
          <t>MARIESTAD</t>
        </is>
      </c>
      <c r="F3532" t="inlineStr">
        <is>
          <t>Kyrkan</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60100-2019</t>
        </is>
      </c>
      <c r="B3533" s="1" t="n">
        <v>43777</v>
      </c>
      <c r="C3533" s="1" t="n">
        <v>45227</v>
      </c>
      <c r="D3533" t="inlineStr">
        <is>
          <t>VÄSTRA GÖTALANDS LÄN</t>
        </is>
      </c>
      <c r="E3533" t="inlineStr">
        <is>
          <t>SKÖVDE</t>
        </is>
      </c>
      <c r="F3533" t="inlineStr">
        <is>
          <t>Övriga statliga verk och myndigheter</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60494-2019</t>
        </is>
      </c>
      <c r="B3534" s="1" t="n">
        <v>43780</v>
      </c>
      <c r="C3534" s="1" t="n">
        <v>45227</v>
      </c>
      <c r="D3534" t="inlineStr">
        <is>
          <t>VÄSTRA GÖTALANDS LÄN</t>
        </is>
      </c>
      <c r="E3534" t="inlineStr">
        <is>
          <t>ÅMÅL</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60927-2019</t>
        </is>
      </c>
      <c r="B3535" s="1" t="n">
        <v>43780</v>
      </c>
      <c r="C3535" s="1" t="n">
        <v>45227</v>
      </c>
      <c r="D3535" t="inlineStr">
        <is>
          <t>VÄSTRA GÖTALANDS LÄN</t>
        </is>
      </c>
      <c r="E3535" t="inlineStr">
        <is>
          <t>SVENLJUNGA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60348-2019</t>
        </is>
      </c>
      <c r="B3536" s="1" t="n">
        <v>43780</v>
      </c>
      <c r="C3536" s="1" t="n">
        <v>45227</v>
      </c>
      <c r="D3536" t="inlineStr">
        <is>
          <t>VÄSTRA GÖTALANDS LÄN</t>
        </is>
      </c>
      <c r="E3536" t="inlineStr">
        <is>
          <t>KUNGÄLV</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60271-2019</t>
        </is>
      </c>
      <c r="B3537" s="1" t="n">
        <v>43780</v>
      </c>
      <c r="C3537" s="1" t="n">
        <v>45227</v>
      </c>
      <c r="D3537" t="inlineStr">
        <is>
          <t>VÄSTRA GÖTALANDS LÄN</t>
        </is>
      </c>
      <c r="E3537" t="inlineStr">
        <is>
          <t>SVENLJUNGA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60395-2019</t>
        </is>
      </c>
      <c r="B3538" s="1" t="n">
        <v>43780</v>
      </c>
      <c r="C3538" s="1" t="n">
        <v>45227</v>
      </c>
      <c r="D3538" t="inlineStr">
        <is>
          <t>VÄSTRA GÖTALANDS LÄN</t>
        </is>
      </c>
      <c r="E3538" t="inlineStr">
        <is>
          <t>ALE</t>
        </is>
      </c>
      <c r="F3538" t="inlineStr">
        <is>
          <t>Kommuner</t>
        </is>
      </c>
      <c r="G3538" t="n">
        <v>1.7</v>
      </c>
      <c r="H3538" t="n">
        <v>0</v>
      </c>
      <c r="I3538" t="n">
        <v>0</v>
      </c>
      <c r="J3538" t="n">
        <v>0</v>
      </c>
      <c r="K3538" t="n">
        <v>0</v>
      </c>
      <c r="L3538" t="n">
        <v>0</v>
      </c>
      <c r="M3538" t="n">
        <v>0</v>
      </c>
      <c r="N3538" t="n">
        <v>0</v>
      </c>
      <c r="O3538" t="n">
        <v>0</v>
      </c>
      <c r="P3538" t="n">
        <v>0</v>
      </c>
      <c r="Q3538" t="n">
        <v>0</v>
      </c>
      <c r="R3538" s="2" t="inlineStr"/>
    </row>
    <row r="3539" ht="15" customHeight="1">
      <c r="A3539" t="inlineStr">
        <is>
          <t>A 60624-2019</t>
        </is>
      </c>
      <c r="B3539" s="1" t="n">
        <v>43781</v>
      </c>
      <c r="C3539" s="1" t="n">
        <v>45227</v>
      </c>
      <c r="D3539" t="inlineStr">
        <is>
          <t>VÄSTRA GÖTALANDS LÄN</t>
        </is>
      </c>
      <c r="E3539" t="inlineStr">
        <is>
          <t>LIDKÖPING</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60796-2019</t>
        </is>
      </c>
      <c r="B3540" s="1" t="n">
        <v>43781</v>
      </c>
      <c r="C3540" s="1" t="n">
        <v>45227</v>
      </c>
      <c r="D3540" t="inlineStr">
        <is>
          <t>VÄSTRA GÖTALANDS LÄN</t>
        </is>
      </c>
      <c r="E3540" t="inlineStr">
        <is>
          <t>TÖREBODA</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60832-2019</t>
        </is>
      </c>
      <c r="B3541" s="1" t="n">
        <v>43781</v>
      </c>
      <c r="C3541" s="1" t="n">
        <v>45227</v>
      </c>
      <c r="D3541" t="inlineStr">
        <is>
          <t>VÄSTRA GÖTALANDS LÄN</t>
        </is>
      </c>
      <c r="E3541" t="inlineStr">
        <is>
          <t>MÖLNDAL</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60666-2019</t>
        </is>
      </c>
      <c r="B3542" s="1" t="n">
        <v>43781</v>
      </c>
      <c r="C3542" s="1" t="n">
        <v>45227</v>
      </c>
      <c r="D3542" t="inlineStr">
        <is>
          <t>VÄSTRA GÖTALANDS LÄN</t>
        </is>
      </c>
      <c r="E3542" t="inlineStr">
        <is>
          <t>BENGTSFORS</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60701-2019</t>
        </is>
      </c>
      <c r="B3543" s="1" t="n">
        <v>43781</v>
      </c>
      <c r="C3543" s="1" t="n">
        <v>45227</v>
      </c>
      <c r="D3543" t="inlineStr">
        <is>
          <t>VÄSTRA GÖTALANDS LÄN</t>
        </is>
      </c>
      <c r="E3543" t="inlineStr">
        <is>
          <t>GRÄSTORP</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60762-2019</t>
        </is>
      </c>
      <c r="B3544" s="1" t="n">
        <v>43781</v>
      </c>
      <c r="C3544" s="1" t="n">
        <v>45227</v>
      </c>
      <c r="D3544" t="inlineStr">
        <is>
          <t>VÄSTRA GÖTALANDS LÄN</t>
        </is>
      </c>
      <c r="E3544" t="inlineStr">
        <is>
          <t>KUNGÄLV</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60797-2019</t>
        </is>
      </c>
      <c r="B3545" s="1" t="n">
        <v>43781</v>
      </c>
      <c r="C3545" s="1" t="n">
        <v>45227</v>
      </c>
      <c r="D3545" t="inlineStr">
        <is>
          <t>VÄSTRA GÖTALANDS LÄN</t>
        </is>
      </c>
      <c r="E3545" t="inlineStr">
        <is>
          <t>MUNKEDAL</t>
        </is>
      </c>
      <c r="G3545" t="n">
        <v>4.8</v>
      </c>
      <c r="H3545" t="n">
        <v>0</v>
      </c>
      <c r="I3545" t="n">
        <v>0</v>
      </c>
      <c r="J3545" t="n">
        <v>0</v>
      </c>
      <c r="K3545" t="n">
        <v>0</v>
      </c>
      <c r="L3545" t="n">
        <v>0</v>
      </c>
      <c r="M3545" t="n">
        <v>0</v>
      </c>
      <c r="N3545" t="n">
        <v>0</v>
      </c>
      <c r="O3545" t="n">
        <v>0</v>
      </c>
      <c r="P3545" t="n">
        <v>0</v>
      </c>
      <c r="Q3545" t="n">
        <v>0</v>
      </c>
      <c r="R3545" s="2" t="inlineStr"/>
    </row>
    <row r="3546" ht="15" customHeight="1">
      <c r="A3546" t="inlineStr">
        <is>
          <t>A 60866-2019</t>
        </is>
      </c>
      <c r="B3546" s="1" t="n">
        <v>43781</v>
      </c>
      <c r="C3546" s="1" t="n">
        <v>45227</v>
      </c>
      <c r="D3546" t="inlineStr">
        <is>
          <t>VÄSTRA GÖTALANDS LÄN</t>
        </is>
      </c>
      <c r="E3546" t="inlineStr">
        <is>
          <t>GULLSPÅNG</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60689-2019</t>
        </is>
      </c>
      <c r="B3547" s="1" t="n">
        <v>43781</v>
      </c>
      <c r="C3547" s="1" t="n">
        <v>45227</v>
      </c>
      <c r="D3547" t="inlineStr">
        <is>
          <t>VÄSTRA GÖTALANDS LÄN</t>
        </is>
      </c>
      <c r="E3547" t="inlineStr">
        <is>
          <t>FÄRGELANDA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60705-2019</t>
        </is>
      </c>
      <c r="B3548" s="1" t="n">
        <v>43781</v>
      </c>
      <c r="C3548" s="1" t="n">
        <v>45227</v>
      </c>
      <c r="D3548" t="inlineStr">
        <is>
          <t>VÄSTRA GÖTALANDS LÄN</t>
        </is>
      </c>
      <c r="E3548" t="inlineStr">
        <is>
          <t>GRÄSTORP</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60801-2019</t>
        </is>
      </c>
      <c r="B3549" s="1" t="n">
        <v>43781</v>
      </c>
      <c r="C3549" s="1" t="n">
        <v>45227</v>
      </c>
      <c r="D3549" t="inlineStr">
        <is>
          <t>VÄSTRA GÖTALANDS LÄN</t>
        </is>
      </c>
      <c r="E3549" t="inlineStr">
        <is>
          <t>HERRLJUNGA</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61886-2019</t>
        </is>
      </c>
      <c r="B3550" s="1" t="n">
        <v>43781</v>
      </c>
      <c r="C3550" s="1" t="n">
        <v>45227</v>
      </c>
      <c r="D3550" t="inlineStr">
        <is>
          <t>VÄSTRA GÖTALANDS LÄN</t>
        </is>
      </c>
      <c r="E3550" t="inlineStr">
        <is>
          <t>ESSUNGA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61991-2019</t>
        </is>
      </c>
      <c r="B3551" s="1" t="n">
        <v>43781</v>
      </c>
      <c r="C3551" s="1" t="n">
        <v>45227</v>
      </c>
      <c r="D3551" t="inlineStr">
        <is>
          <t>VÄSTRA GÖTALANDS LÄN</t>
        </is>
      </c>
      <c r="E3551" t="inlineStr">
        <is>
          <t>TIBRO</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60759-2019</t>
        </is>
      </c>
      <c r="B3552" s="1" t="n">
        <v>43781</v>
      </c>
      <c r="C3552" s="1" t="n">
        <v>45227</v>
      </c>
      <c r="D3552" t="inlineStr">
        <is>
          <t>VÄSTRA GÖTALANDS LÄN</t>
        </is>
      </c>
      <c r="E3552" t="inlineStr">
        <is>
          <t>BOLLEBYGD</t>
        </is>
      </c>
      <c r="G3552" t="n">
        <v>0.8</v>
      </c>
      <c r="H3552" t="n">
        <v>0</v>
      </c>
      <c r="I3552" t="n">
        <v>0</v>
      </c>
      <c r="J3552" t="n">
        <v>0</v>
      </c>
      <c r="K3552" t="n">
        <v>0</v>
      </c>
      <c r="L3552" t="n">
        <v>0</v>
      </c>
      <c r="M3552" t="n">
        <v>0</v>
      </c>
      <c r="N3552" t="n">
        <v>0</v>
      </c>
      <c r="O3552" t="n">
        <v>0</v>
      </c>
      <c r="P3552" t="n">
        <v>0</v>
      </c>
      <c r="Q3552" t="n">
        <v>0</v>
      </c>
      <c r="R3552" s="2" t="inlineStr"/>
    </row>
    <row r="3553" ht="15" customHeight="1">
      <c r="A3553" t="inlineStr">
        <is>
          <t>A 60779-2019</t>
        </is>
      </c>
      <c r="B3553" s="1" t="n">
        <v>43781</v>
      </c>
      <c r="C3553" s="1" t="n">
        <v>45227</v>
      </c>
      <c r="D3553" t="inlineStr">
        <is>
          <t>VÄSTRA GÖTALANDS LÄN</t>
        </is>
      </c>
      <c r="E3553" t="inlineStr">
        <is>
          <t>KARLSBORG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60908-2019</t>
        </is>
      </c>
      <c r="B3554" s="1" t="n">
        <v>43782</v>
      </c>
      <c r="C3554" s="1" t="n">
        <v>45227</v>
      </c>
      <c r="D3554" t="inlineStr">
        <is>
          <t>VÄSTRA GÖTALANDS LÄN</t>
        </is>
      </c>
      <c r="E3554" t="inlineStr">
        <is>
          <t>TÖREBODA</t>
        </is>
      </c>
      <c r="F3554" t="inlineStr">
        <is>
          <t>Sveaskog</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61140-2019</t>
        </is>
      </c>
      <c r="B3555" s="1" t="n">
        <v>43782</v>
      </c>
      <c r="C3555" s="1" t="n">
        <v>45227</v>
      </c>
      <c r="D3555" t="inlineStr">
        <is>
          <t>VÄSTRA GÖTALANDS LÄN</t>
        </is>
      </c>
      <c r="E3555" t="inlineStr">
        <is>
          <t>LIDKÖPING</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62057-2019</t>
        </is>
      </c>
      <c r="B3556" s="1" t="n">
        <v>43782</v>
      </c>
      <c r="C3556" s="1" t="n">
        <v>45227</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60970-2019</t>
        </is>
      </c>
      <c r="B3557" s="1" t="n">
        <v>43782</v>
      </c>
      <c r="C3557" s="1" t="n">
        <v>45227</v>
      </c>
      <c r="D3557" t="inlineStr">
        <is>
          <t>VÄSTRA GÖTALANDS LÄN</t>
        </is>
      </c>
      <c r="E3557" t="inlineStr">
        <is>
          <t>SVENLJUNGA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62053-2019</t>
        </is>
      </c>
      <c r="B3558" s="1" t="n">
        <v>43782</v>
      </c>
      <c r="C3558" s="1" t="n">
        <v>45227</v>
      </c>
      <c r="D3558" t="inlineStr">
        <is>
          <t>VÄSTRA GÖTALANDS LÄN</t>
        </is>
      </c>
      <c r="E3558" t="inlineStr">
        <is>
          <t>GULLSPÅNG</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62372-2019</t>
        </is>
      </c>
      <c r="B3559" s="1" t="n">
        <v>43782</v>
      </c>
      <c r="C3559" s="1" t="n">
        <v>45227</v>
      </c>
      <c r="D3559" t="inlineStr">
        <is>
          <t>VÄSTRA GÖTALANDS LÄN</t>
        </is>
      </c>
      <c r="E3559" t="inlineStr">
        <is>
          <t>STRÖMSTAD</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61134-2019</t>
        </is>
      </c>
      <c r="B3560" s="1" t="n">
        <v>43782</v>
      </c>
      <c r="C3560" s="1" t="n">
        <v>45227</v>
      </c>
      <c r="D3560" t="inlineStr">
        <is>
          <t>VÄSTRA GÖTALANDS LÄN</t>
        </is>
      </c>
      <c r="E3560" t="inlineStr">
        <is>
          <t>TIDAHOLM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60909-2019</t>
        </is>
      </c>
      <c r="B3561" s="1" t="n">
        <v>43782</v>
      </c>
      <c r="C3561" s="1" t="n">
        <v>45227</v>
      </c>
      <c r="D3561" t="inlineStr">
        <is>
          <t>VÄSTRA GÖTALANDS LÄN</t>
        </is>
      </c>
      <c r="E3561" t="inlineStr">
        <is>
          <t>TÖREBODA</t>
        </is>
      </c>
      <c r="F3561" t="inlineStr">
        <is>
          <t>Sveaskog</t>
        </is>
      </c>
      <c r="G3561" t="n">
        <v>2.4</v>
      </c>
      <c r="H3561" t="n">
        <v>0</v>
      </c>
      <c r="I3561" t="n">
        <v>0</v>
      </c>
      <c r="J3561" t="n">
        <v>0</v>
      </c>
      <c r="K3561" t="n">
        <v>0</v>
      </c>
      <c r="L3561" t="n">
        <v>0</v>
      </c>
      <c r="M3561" t="n">
        <v>0</v>
      </c>
      <c r="N3561" t="n">
        <v>0</v>
      </c>
      <c r="O3561" t="n">
        <v>0</v>
      </c>
      <c r="P3561" t="n">
        <v>0</v>
      </c>
      <c r="Q3561" t="n">
        <v>0</v>
      </c>
      <c r="R3561" s="2" t="inlineStr"/>
    </row>
    <row r="3562" ht="15" customHeight="1">
      <c r="A3562" t="inlineStr">
        <is>
          <t>A 61017-2019</t>
        </is>
      </c>
      <c r="B3562" s="1" t="n">
        <v>43782</v>
      </c>
      <c r="C3562" s="1" t="n">
        <v>45227</v>
      </c>
      <c r="D3562" t="inlineStr">
        <is>
          <t>VÄSTRA GÖTALANDS LÄN</t>
        </is>
      </c>
      <c r="E3562" t="inlineStr">
        <is>
          <t>SKARA</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61029-2019</t>
        </is>
      </c>
      <c r="B3563" s="1" t="n">
        <v>43782</v>
      </c>
      <c r="C3563" s="1" t="n">
        <v>45227</v>
      </c>
      <c r="D3563" t="inlineStr">
        <is>
          <t>VÄSTRA GÖTALANDS LÄN</t>
        </is>
      </c>
      <c r="E3563" t="inlineStr">
        <is>
          <t>MARK</t>
        </is>
      </c>
      <c r="G3563" t="n">
        <v>2.1</v>
      </c>
      <c r="H3563" t="n">
        <v>0</v>
      </c>
      <c r="I3563" t="n">
        <v>0</v>
      </c>
      <c r="J3563" t="n">
        <v>0</v>
      </c>
      <c r="K3563" t="n">
        <v>0</v>
      </c>
      <c r="L3563" t="n">
        <v>0</v>
      </c>
      <c r="M3563" t="n">
        <v>0</v>
      </c>
      <c r="N3563" t="n">
        <v>0</v>
      </c>
      <c r="O3563" t="n">
        <v>0</v>
      </c>
      <c r="P3563" t="n">
        <v>0</v>
      </c>
      <c r="Q3563" t="n">
        <v>0</v>
      </c>
      <c r="R3563" s="2" t="inlineStr"/>
    </row>
    <row r="3564" ht="15" customHeight="1">
      <c r="A3564" t="inlineStr">
        <is>
          <t>A 61121-2019</t>
        </is>
      </c>
      <c r="B3564" s="1" t="n">
        <v>43782</v>
      </c>
      <c r="C3564" s="1" t="n">
        <v>45227</v>
      </c>
      <c r="D3564" t="inlineStr">
        <is>
          <t>VÄSTRA GÖTALANDS LÄN</t>
        </is>
      </c>
      <c r="E3564" t="inlineStr">
        <is>
          <t>SVENLJUNGA</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61154-2019</t>
        </is>
      </c>
      <c r="B3565" s="1" t="n">
        <v>43782</v>
      </c>
      <c r="C3565" s="1" t="n">
        <v>45227</v>
      </c>
      <c r="D3565" t="inlineStr">
        <is>
          <t>VÄSTRA GÖTALANDS LÄN</t>
        </is>
      </c>
      <c r="E3565" t="inlineStr">
        <is>
          <t>LIDKÖPING</t>
        </is>
      </c>
      <c r="G3565" t="n">
        <v>5.4</v>
      </c>
      <c r="H3565" t="n">
        <v>0</v>
      </c>
      <c r="I3565" t="n">
        <v>0</v>
      </c>
      <c r="J3565" t="n">
        <v>0</v>
      </c>
      <c r="K3565" t="n">
        <v>0</v>
      </c>
      <c r="L3565" t="n">
        <v>0</v>
      </c>
      <c r="M3565" t="n">
        <v>0</v>
      </c>
      <c r="N3565" t="n">
        <v>0</v>
      </c>
      <c r="O3565" t="n">
        <v>0</v>
      </c>
      <c r="P3565" t="n">
        <v>0</v>
      </c>
      <c r="Q3565" t="n">
        <v>0</v>
      </c>
      <c r="R3565" s="2" t="inlineStr"/>
    </row>
    <row r="3566" ht="15" customHeight="1">
      <c r="A3566" t="inlineStr">
        <is>
          <t>A 62061-2019</t>
        </is>
      </c>
      <c r="B3566" s="1" t="n">
        <v>43782</v>
      </c>
      <c r="C3566" s="1" t="n">
        <v>45227</v>
      </c>
      <c r="D3566" t="inlineStr">
        <is>
          <t>VÄSTRA GÖTALANDS LÄN</t>
        </is>
      </c>
      <c r="E3566" t="inlineStr">
        <is>
          <t>VARA</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62082-2019</t>
        </is>
      </c>
      <c r="B3567" s="1" t="n">
        <v>43782</v>
      </c>
      <c r="C3567" s="1" t="n">
        <v>45227</v>
      </c>
      <c r="D3567" t="inlineStr">
        <is>
          <t>VÄSTRA GÖTALANDS LÄN</t>
        </is>
      </c>
      <c r="E3567" t="inlineStr">
        <is>
          <t>FALKÖPING</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61286-2019</t>
        </is>
      </c>
      <c r="B3568" s="1" t="n">
        <v>43783</v>
      </c>
      <c r="C3568" s="1" t="n">
        <v>45227</v>
      </c>
      <c r="D3568" t="inlineStr">
        <is>
          <t>VÄSTRA GÖTALANDS LÄN</t>
        </is>
      </c>
      <c r="E3568" t="inlineStr">
        <is>
          <t>TRANEMO</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61348-2019</t>
        </is>
      </c>
      <c r="B3569" s="1" t="n">
        <v>43783</v>
      </c>
      <c r="C3569" s="1" t="n">
        <v>45227</v>
      </c>
      <c r="D3569" t="inlineStr">
        <is>
          <t>VÄSTRA GÖTALANDS LÄN</t>
        </is>
      </c>
      <c r="E3569" t="inlineStr">
        <is>
          <t>VARA</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61415-2019</t>
        </is>
      </c>
      <c r="B3570" s="1" t="n">
        <v>43783</v>
      </c>
      <c r="C3570" s="1" t="n">
        <v>45227</v>
      </c>
      <c r="D3570" t="inlineStr">
        <is>
          <t>VÄSTRA GÖTALANDS LÄN</t>
        </is>
      </c>
      <c r="E3570" t="inlineStr">
        <is>
          <t>BOLLEBYGD</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61457-2019</t>
        </is>
      </c>
      <c r="B3571" s="1" t="n">
        <v>43783</v>
      </c>
      <c r="C3571" s="1" t="n">
        <v>45227</v>
      </c>
      <c r="D3571" t="inlineStr">
        <is>
          <t>VÄSTRA GÖTALANDS LÄN</t>
        </is>
      </c>
      <c r="E3571" t="inlineStr">
        <is>
          <t>MARK</t>
        </is>
      </c>
      <c r="F3571" t="inlineStr">
        <is>
          <t>Kommuner</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61475-2019</t>
        </is>
      </c>
      <c r="B3572" s="1" t="n">
        <v>43783</v>
      </c>
      <c r="C3572" s="1" t="n">
        <v>45227</v>
      </c>
      <c r="D3572" t="inlineStr">
        <is>
          <t>VÄSTRA GÖTALANDS LÄN</t>
        </is>
      </c>
      <c r="E3572" t="inlineStr">
        <is>
          <t>MARK</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62557-2019</t>
        </is>
      </c>
      <c r="B3573" s="1" t="n">
        <v>43783</v>
      </c>
      <c r="C3573" s="1" t="n">
        <v>45227</v>
      </c>
      <c r="D3573" t="inlineStr">
        <is>
          <t>VÄSTRA GÖTALANDS LÄN</t>
        </is>
      </c>
      <c r="E3573" t="inlineStr">
        <is>
          <t>GULLSPÅNG</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61233-2019</t>
        </is>
      </c>
      <c r="B3574" s="1" t="n">
        <v>43783</v>
      </c>
      <c r="C3574" s="1" t="n">
        <v>45227</v>
      </c>
      <c r="D3574" t="inlineStr">
        <is>
          <t>VÄSTRA GÖTALANDS LÄN</t>
        </is>
      </c>
      <c r="E3574" t="inlineStr">
        <is>
          <t>BENGTSFORS</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61245-2019</t>
        </is>
      </c>
      <c r="B3575" s="1" t="n">
        <v>43783</v>
      </c>
      <c r="C3575" s="1" t="n">
        <v>45227</v>
      </c>
      <c r="D3575" t="inlineStr">
        <is>
          <t>VÄSTRA GÖTALANDS LÄN</t>
        </is>
      </c>
      <c r="E3575" t="inlineStr">
        <is>
          <t>DALS-ED</t>
        </is>
      </c>
      <c r="G3575" t="n">
        <v>5.6</v>
      </c>
      <c r="H3575" t="n">
        <v>0</v>
      </c>
      <c r="I3575" t="n">
        <v>0</v>
      </c>
      <c r="J3575" t="n">
        <v>0</v>
      </c>
      <c r="K3575" t="n">
        <v>0</v>
      </c>
      <c r="L3575" t="n">
        <v>0</v>
      </c>
      <c r="M3575" t="n">
        <v>0</v>
      </c>
      <c r="N3575" t="n">
        <v>0</v>
      </c>
      <c r="O3575" t="n">
        <v>0</v>
      </c>
      <c r="P3575" t="n">
        <v>0</v>
      </c>
      <c r="Q3575" t="n">
        <v>0</v>
      </c>
      <c r="R3575" s="2" t="inlineStr"/>
    </row>
    <row r="3576" ht="15" customHeight="1">
      <c r="A3576" t="inlineStr">
        <is>
          <t>A 61359-2019</t>
        </is>
      </c>
      <c r="B3576" s="1" t="n">
        <v>43783</v>
      </c>
      <c r="C3576" s="1" t="n">
        <v>45227</v>
      </c>
      <c r="D3576" t="inlineStr">
        <is>
          <t>VÄSTRA GÖTALANDS LÄN</t>
        </is>
      </c>
      <c r="E3576" t="inlineStr">
        <is>
          <t>BENGTSFORS</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62556-2019</t>
        </is>
      </c>
      <c r="B3577" s="1" t="n">
        <v>43783</v>
      </c>
      <c r="C3577" s="1" t="n">
        <v>45227</v>
      </c>
      <c r="D3577" t="inlineStr">
        <is>
          <t>VÄSTRA GÖTALANDS LÄN</t>
        </is>
      </c>
      <c r="E3577" t="inlineStr">
        <is>
          <t>GULLSPÅNG</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61320-2019</t>
        </is>
      </c>
      <c r="B3578" s="1" t="n">
        <v>43783</v>
      </c>
      <c r="C3578" s="1" t="n">
        <v>45227</v>
      </c>
      <c r="D3578" t="inlineStr">
        <is>
          <t>VÄSTRA GÖTALANDS LÄN</t>
        </is>
      </c>
      <c r="E3578" t="inlineStr">
        <is>
          <t>FALKÖPING</t>
        </is>
      </c>
      <c r="F3578" t="inlineStr">
        <is>
          <t>Sveaskog</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61427-2019</t>
        </is>
      </c>
      <c r="B3579" s="1" t="n">
        <v>43783</v>
      </c>
      <c r="C3579" s="1" t="n">
        <v>45227</v>
      </c>
      <c r="D3579" t="inlineStr">
        <is>
          <t>VÄSTRA GÖTALANDS LÄN</t>
        </is>
      </c>
      <c r="E3579" t="inlineStr">
        <is>
          <t>ALINGSÅS</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61448-2019</t>
        </is>
      </c>
      <c r="B3580" s="1" t="n">
        <v>43783</v>
      </c>
      <c r="C3580" s="1" t="n">
        <v>45227</v>
      </c>
      <c r="D3580" t="inlineStr">
        <is>
          <t>VÄSTRA GÖTALANDS LÄN</t>
        </is>
      </c>
      <c r="E3580" t="inlineStr">
        <is>
          <t>BOLLEBYGD</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62559-2019</t>
        </is>
      </c>
      <c r="B3581" s="1" t="n">
        <v>43783</v>
      </c>
      <c r="C3581" s="1" t="n">
        <v>45227</v>
      </c>
      <c r="D3581" t="inlineStr">
        <is>
          <t>VÄSTRA GÖTALANDS LÄN</t>
        </is>
      </c>
      <c r="E3581" t="inlineStr">
        <is>
          <t>GULLSPÅNG</t>
        </is>
      </c>
      <c r="G3581" t="n">
        <v>1.7</v>
      </c>
      <c r="H3581" t="n">
        <v>0</v>
      </c>
      <c r="I3581" t="n">
        <v>0</v>
      </c>
      <c r="J3581" t="n">
        <v>0</v>
      </c>
      <c r="K3581" t="n">
        <v>0</v>
      </c>
      <c r="L3581" t="n">
        <v>0</v>
      </c>
      <c r="M3581" t="n">
        <v>0</v>
      </c>
      <c r="N3581" t="n">
        <v>0</v>
      </c>
      <c r="O3581" t="n">
        <v>0</v>
      </c>
      <c r="P3581" t="n">
        <v>0</v>
      </c>
      <c r="Q3581" t="n">
        <v>0</v>
      </c>
      <c r="R3581" s="2" t="inlineStr"/>
    </row>
    <row r="3582" ht="15" customHeight="1">
      <c r="A3582" t="inlineStr">
        <is>
          <t>A 61630-2019</t>
        </is>
      </c>
      <c r="B3582" s="1" t="n">
        <v>43784</v>
      </c>
      <c r="C3582" s="1" t="n">
        <v>45227</v>
      </c>
      <c r="D3582" t="inlineStr">
        <is>
          <t>VÄSTRA GÖTALANDS LÄN</t>
        </is>
      </c>
      <c r="E3582" t="inlineStr">
        <is>
          <t>VARA</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61728-2019</t>
        </is>
      </c>
      <c r="B3583" s="1" t="n">
        <v>43784</v>
      </c>
      <c r="C3583" s="1" t="n">
        <v>45227</v>
      </c>
      <c r="D3583" t="inlineStr">
        <is>
          <t>VÄSTRA GÖTALANDS LÄN</t>
        </is>
      </c>
      <c r="E3583" t="inlineStr">
        <is>
          <t>BORÅS</t>
        </is>
      </c>
      <c r="G3583" t="n">
        <v>3.1</v>
      </c>
      <c r="H3583" t="n">
        <v>0</v>
      </c>
      <c r="I3583" t="n">
        <v>0</v>
      </c>
      <c r="J3583" t="n">
        <v>0</v>
      </c>
      <c r="K3583" t="n">
        <v>0</v>
      </c>
      <c r="L3583" t="n">
        <v>0</v>
      </c>
      <c r="M3583" t="n">
        <v>0</v>
      </c>
      <c r="N3583" t="n">
        <v>0</v>
      </c>
      <c r="O3583" t="n">
        <v>0</v>
      </c>
      <c r="P3583" t="n">
        <v>0</v>
      </c>
      <c r="Q3583" t="n">
        <v>0</v>
      </c>
      <c r="R3583" s="2" t="inlineStr"/>
    </row>
    <row r="3584" ht="15" customHeight="1">
      <c r="A3584" t="inlineStr">
        <is>
          <t>A 61741-2019</t>
        </is>
      </c>
      <c r="B3584" s="1" t="n">
        <v>43784</v>
      </c>
      <c r="C3584" s="1" t="n">
        <v>45227</v>
      </c>
      <c r="D3584" t="inlineStr">
        <is>
          <t>VÄSTRA GÖTALANDS LÄN</t>
        </is>
      </c>
      <c r="E3584" t="inlineStr">
        <is>
          <t>BENGTSFORS</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61766-2019</t>
        </is>
      </c>
      <c r="B3585" s="1" t="n">
        <v>43784</v>
      </c>
      <c r="C3585" s="1" t="n">
        <v>45227</v>
      </c>
      <c r="D3585" t="inlineStr">
        <is>
          <t>VÄSTRA GÖTALANDS LÄN</t>
        </is>
      </c>
      <c r="E3585" t="inlineStr">
        <is>
          <t>ALINGSÅS</t>
        </is>
      </c>
      <c r="G3585" t="n">
        <v>2.6</v>
      </c>
      <c r="H3585" t="n">
        <v>0</v>
      </c>
      <c r="I3585" t="n">
        <v>0</v>
      </c>
      <c r="J3585" t="n">
        <v>0</v>
      </c>
      <c r="K3585" t="n">
        <v>0</v>
      </c>
      <c r="L3585" t="n">
        <v>0</v>
      </c>
      <c r="M3585" t="n">
        <v>0</v>
      </c>
      <c r="N3585" t="n">
        <v>0</v>
      </c>
      <c r="O3585" t="n">
        <v>0</v>
      </c>
      <c r="P3585" t="n">
        <v>0</v>
      </c>
      <c r="Q3585" t="n">
        <v>0</v>
      </c>
      <c r="R3585" s="2" t="inlineStr"/>
    </row>
    <row r="3586" ht="15" customHeight="1">
      <c r="A3586" t="inlineStr">
        <is>
          <t>A 61548-2019</t>
        </is>
      </c>
      <c r="B3586" s="1" t="n">
        <v>43784</v>
      </c>
      <c r="C3586" s="1" t="n">
        <v>45227</v>
      </c>
      <c r="D3586" t="inlineStr">
        <is>
          <t>VÄSTRA GÖTALANDS LÄN</t>
        </is>
      </c>
      <c r="E3586" t="inlineStr">
        <is>
          <t>TIBRO</t>
        </is>
      </c>
      <c r="F3586" t="inlineStr">
        <is>
          <t>Sveaskog</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61574-2019</t>
        </is>
      </c>
      <c r="B3587" s="1" t="n">
        <v>43784</v>
      </c>
      <c r="C3587" s="1" t="n">
        <v>45227</v>
      </c>
      <c r="D3587" t="inlineStr">
        <is>
          <t>VÄSTRA GÖTALANDS LÄN</t>
        </is>
      </c>
      <c r="E3587" t="inlineStr">
        <is>
          <t>ULRICEHAMN</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61643-2019</t>
        </is>
      </c>
      <c r="B3588" s="1" t="n">
        <v>43784</v>
      </c>
      <c r="C3588" s="1" t="n">
        <v>45227</v>
      </c>
      <c r="D3588" t="inlineStr">
        <is>
          <t>VÄSTRA GÖTALANDS LÄN</t>
        </is>
      </c>
      <c r="E3588" t="inlineStr">
        <is>
          <t>LILLA EDET</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61683-2019</t>
        </is>
      </c>
      <c r="B3589" s="1" t="n">
        <v>43784</v>
      </c>
      <c r="C3589" s="1" t="n">
        <v>45227</v>
      </c>
      <c r="D3589" t="inlineStr">
        <is>
          <t>VÄSTRA GÖTALANDS LÄN</t>
        </is>
      </c>
      <c r="E3589" t="inlineStr">
        <is>
          <t>BORÅS</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61698-2019</t>
        </is>
      </c>
      <c r="B3590" s="1" t="n">
        <v>43784</v>
      </c>
      <c r="C3590" s="1" t="n">
        <v>45227</v>
      </c>
      <c r="D3590" t="inlineStr">
        <is>
          <t>VÄSTRA GÖTALANDS LÄN</t>
        </is>
      </c>
      <c r="E3590" t="inlineStr">
        <is>
          <t>BORÅS</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61727-2019</t>
        </is>
      </c>
      <c r="B3591" s="1" t="n">
        <v>43784</v>
      </c>
      <c r="C3591" s="1" t="n">
        <v>45227</v>
      </c>
      <c r="D3591" t="inlineStr">
        <is>
          <t>VÄSTRA GÖTALANDS LÄN</t>
        </is>
      </c>
      <c r="E3591" t="inlineStr">
        <is>
          <t>BORÅS</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61551-2019</t>
        </is>
      </c>
      <c r="B3592" s="1" t="n">
        <v>43784</v>
      </c>
      <c r="C3592" s="1" t="n">
        <v>45227</v>
      </c>
      <c r="D3592" t="inlineStr">
        <is>
          <t>VÄSTRA GÖTALANDS LÄN</t>
        </is>
      </c>
      <c r="E3592" t="inlineStr">
        <is>
          <t>ULRICEHAMN</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61706-2019</t>
        </is>
      </c>
      <c r="B3593" s="1" t="n">
        <v>43784</v>
      </c>
      <c r="C3593" s="1" t="n">
        <v>45227</v>
      </c>
      <c r="D3593" t="inlineStr">
        <is>
          <t>VÄSTRA GÖTALANDS LÄN</t>
        </is>
      </c>
      <c r="E3593" t="inlineStr">
        <is>
          <t>ALINGSÅS</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61725-2019</t>
        </is>
      </c>
      <c r="B3594" s="1" t="n">
        <v>43784</v>
      </c>
      <c r="C3594" s="1" t="n">
        <v>45227</v>
      </c>
      <c r="D3594" t="inlineStr">
        <is>
          <t>VÄSTRA GÖTALANDS LÄN</t>
        </is>
      </c>
      <c r="E3594" t="inlineStr">
        <is>
          <t>MARK</t>
        </is>
      </c>
      <c r="G3594" t="n">
        <v>7.5</v>
      </c>
      <c r="H3594" t="n">
        <v>0</v>
      </c>
      <c r="I3594" t="n">
        <v>0</v>
      </c>
      <c r="J3594" t="n">
        <v>0</v>
      </c>
      <c r="K3594" t="n">
        <v>0</v>
      </c>
      <c r="L3594" t="n">
        <v>0</v>
      </c>
      <c r="M3594" t="n">
        <v>0</v>
      </c>
      <c r="N3594" t="n">
        <v>0</v>
      </c>
      <c r="O3594" t="n">
        <v>0</v>
      </c>
      <c r="P3594" t="n">
        <v>0</v>
      </c>
      <c r="Q3594" t="n">
        <v>0</v>
      </c>
      <c r="R3594" s="2" t="inlineStr"/>
    </row>
    <row r="3595" ht="15" customHeight="1">
      <c r="A3595" t="inlineStr">
        <is>
          <t>A 61792-2019</t>
        </is>
      </c>
      <c r="B3595" s="1" t="n">
        <v>43785</v>
      </c>
      <c r="C3595" s="1" t="n">
        <v>45227</v>
      </c>
      <c r="D3595" t="inlineStr">
        <is>
          <t>VÄSTRA GÖTALANDS LÄN</t>
        </is>
      </c>
      <c r="E3595" t="inlineStr">
        <is>
          <t>ÅMÅL</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61793-2019</t>
        </is>
      </c>
      <c r="B3596" s="1" t="n">
        <v>43785</v>
      </c>
      <c r="C3596" s="1" t="n">
        <v>45227</v>
      </c>
      <c r="D3596" t="inlineStr">
        <is>
          <t>VÄSTRA GÖTALANDS LÄN</t>
        </is>
      </c>
      <c r="E3596" t="inlineStr">
        <is>
          <t>ÅMÅL</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61844-2019</t>
        </is>
      </c>
      <c r="B3597" s="1" t="n">
        <v>43786</v>
      </c>
      <c r="C3597" s="1" t="n">
        <v>45227</v>
      </c>
      <c r="D3597" t="inlineStr">
        <is>
          <t>VÄSTRA GÖTALANDS LÄN</t>
        </is>
      </c>
      <c r="E3597" t="inlineStr">
        <is>
          <t>ULRICEHAMN</t>
        </is>
      </c>
      <c r="G3597" t="n">
        <v>5.5</v>
      </c>
      <c r="H3597" t="n">
        <v>0</v>
      </c>
      <c r="I3597" t="n">
        <v>0</v>
      </c>
      <c r="J3597" t="n">
        <v>0</v>
      </c>
      <c r="K3597" t="n">
        <v>0</v>
      </c>
      <c r="L3597" t="n">
        <v>0</v>
      </c>
      <c r="M3597" t="n">
        <v>0</v>
      </c>
      <c r="N3597" t="n">
        <v>0</v>
      </c>
      <c r="O3597" t="n">
        <v>0</v>
      </c>
      <c r="P3597" t="n">
        <v>0</v>
      </c>
      <c r="Q3597" t="n">
        <v>0</v>
      </c>
      <c r="R3597" s="2" t="inlineStr"/>
    </row>
    <row r="3598" ht="15" customHeight="1">
      <c r="A3598" t="inlineStr">
        <is>
          <t>A 61846-2019</t>
        </is>
      </c>
      <c r="B3598" s="1" t="n">
        <v>43786</v>
      </c>
      <c r="C3598" s="1" t="n">
        <v>45227</v>
      </c>
      <c r="D3598" t="inlineStr">
        <is>
          <t>VÄSTRA GÖTALANDS LÄN</t>
        </is>
      </c>
      <c r="E3598" t="inlineStr">
        <is>
          <t>KARLSBORG</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62786-2019</t>
        </is>
      </c>
      <c r="B3599" s="1" t="n">
        <v>43786</v>
      </c>
      <c r="C3599" s="1" t="n">
        <v>45227</v>
      </c>
      <c r="D3599" t="inlineStr">
        <is>
          <t>VÄSTRA GÖTALANDS LÄN</t>
        </is>
      </c>
      <c r="E3599" t="inlineStr">
        <is>
          <t>TIBRO</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62002-2019</t>
        </is>
      </c>
      <c r="B3600" s="1" t="n">
        <v>43787</v>
      </c>
      <c r="C3600" s="1" t="n">
        <v>45227</v>
      </c>
      <c r="D3600" t="inlineStr">
        <is>
          <t>VÄSTRA GÖTALANDS LÄN</t>
        </is>
      </c>
      <c r="E3600" t="inlineStr">
        <is>
          <t>GRÄSTORP</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63317-2019</t>
        </is>
      </c>
      <c r="B3601" s="1" t="n">
        <v>43787</v>
      </c>
      <c r="C3601" s="1" t="n">
        <v>45227</v>
      </c>
      <c r="D3601" t="inlineStr">
        <is>
          <t>VÄSTRA GÖTALANDS LÄN</t>
        </is>
      </c>
      <c r="E3601" t="inlineStr">
        <is>
          <t>DALS-ED</t>
        </is>
      </c>
      <c r="F3601" t="inlineStr">
        <is>
          <t>Kyrkan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61872-2019</t>
        </is>
      </c>
      <c r="B3602" s="1" t="n">
        <v>43787</v>
      </c>
      <c r="C3602" s="1" t="n">
        <v>45227</v>
      </c>
      <c r="D3602" t="inlineStr">
        <is>
          <t>VÄSTRA GÖTALANDS LÄN</t>
        </is>
      </c>
      <c r="E3602" t="inlineStr">
        <is>
          <t>BORÅS</t>
        </is>
      </c>
      <c r="F3602" t="inlineStr">
        <is>
          <t>Sveaskog</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61979-2019</t>
        </is>
      </c>
      <c r="B3603" s="1" t="n">
        <v>43787</v>
      </c>
      <c r="C3603" s="1" t="n">
        <v>45227</v>
      </c>
      <c r="D3603" t="inlineStr">
        <is>
          <t>VÄSTRA GÖTALANDS LÄN</t>
        </is>
      </c>
      <c r="E3603" t="inlineStr">
        <is>
          <t>VARA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62008-2019</t>
        </is>
      </c>
      <c r="B3604" s="1" t="n">
        <v>43787</v>
      </c>
      <c r="C3604" s="1" t="n">
        <v>45227</v>
      </c>
      <c r="D3604" t="inlineStr">
        <is>
          <t>VÄSTRA GÖTALANDS LÄN</t>
        </is>
      </c>
      <c r="E3604" t="inlineStr">
        <is>
          <t>GRÄSTORP</t>
        </is>
      </c>
      <c r="G3604" t="n">
        <v>11.7</v>
      </c>
      <c r="H3604" t="n">
        <v>0</v>
      </c>
      <c r="I3604" t="n">
        <v>0</v>
      </c>
      <c r="J3604" t="n">
        <v>0</v>
      </c>
      <c r="K3604" t="n">
        <v>0</v>
      </c>
      <c r="L3604" t="n">
        <v>0</v>
      </c>
      <c r="M3604" t="n">
        <v>0</v>
      </c>
      <c r="N3604" t="n">
        <v>0</v>
      </c>
      <c r="O3604" t="n">
        <v>0</v>
      </c>
      <c r="P3604" t="n">
        <v>0</v>
      </c>
      <c r="Q3604" t="n">
        <v>0</v>
      </c>
      <c r="R3604" s="2" t="inlineStr"/>
    </row>
    <row r="3605" ht="15" customHeight="1">
      <c r="A3605" t="inlineStr">
        <is>
          <t>A 62095-2019</t>
        </is>
      </c>
      <c r="B3605" s="1" t="n">
        <v>43787</v>
      </c>
      <c r="C3605" s="1" t="n">
        <v>45227</v>
      </c>
      <c r="D3605" t="inlineStr">
        <is>
          <t>VÄSTRA GÖTALANDS LÄN</t>
        </is>
      </c>
      <c r="E3605" t="inlineStr">
        <is>
          <t>ÅMÅL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62130-2019</t>
        </is>
      </c>
      <c r="B3606" s="1" t="n">
        <v>43787</v>
      </c>
      <c r="C3606" s="1" t="n">
        <v>45227</v>
      </c>
      <c r="D3606" t="inlineStr">
        <is>
          <t>VÄSTRA GÖTALANDS LÄN</t>
        </is>
      </c>
      <c r="E3606" t="inlineStr">
        <is>
          <t>ALE</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61965-2019</t>
        </is>
      </c>
      <c r="B3607" s="1" t="n">
        <v>43787</v>
      </c>
      <c r="C3607" s="1" t="n">
        <v>45227</v>
      </c>
      <c r="D3607" t="inlineStr">
        <is>
          <t>VÄSTRA GÖTALANDS LÄN</t>
        </is>
      </c>
      <c r="E3607" t="inlineStr">
        <is>
          <t>GÖTENE</t>
        </is>
      </c>
      <c r="G3607" t="n">
        <v>19.7</v>
      </c>
      <c r="H3607" t="n">
        <v>0</v>
      </c>
      <c r="I3607" t="n">
        <v>0</v>
      </c>
      <c r="J3607" t="n">
        <v>0</v>
      </c>
      <c r="K3607" t="n">
        <v>0</v>
      </c>
      <c r="L3607" t="n">
        <v>0</v>
      </c>
      <c r="M3607" t="n">
        <v>0</v>
      </c>
      <c r="N3607" t="n">
        <v>0</v>
      </c>
      <c r="O3607" t="n">
        <v>0</v>
      </c>
      <c r="P3607" t="n">
        <v>0</v>
      </c>
      <c r="Q3607" t="n">
        <v>0</v>
      </c>
      <c r="R3607" s="2" t="inlineStr"/>
    </row>
    <row r="3608" ht="15" customHeight="1">
      <c r="A3608" t="inlineStr">
        <is>
          <t>A 61982-2019</t>
        </is>
      </c>
      <c r="B3608" s="1" t="n">
        <v>43787</v>
      </c>
      <c r="C3608" s="1" t="n">
        <v>45227</v>
      </c>
      <c r="D3608" t="inlineStr">
        <is>
          <t>VÄSTRA GÖTALANDS LÄN</t>
        </is>
      </c>
      <c r="E3608" t="inlineStr">
        <is>
          <t>VÄNERSBORG</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62018-2019</t>
        </is>
      </c>
      <c r="B3609" s="1" t="n">
        <v>43787</v>
      </c>
      <c r="C3609" s="1" t="n">
        <v>45227</v>
      </c>
      <c r="D3609" t="inlineStr">
        <is>
          <t>VÄSTRA GÖTALANDS LÄN</t>
        </is>
      </c>
      <c r="E3609" t="inlineStr">
        <is>
          <t>ULRICEHAMN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62146-2019</t>
        </is>
      </c>
      <c r="B3610" s="1" t="n">
        <v>43787</v>
      </c>
      <c r="C3610" s="1" t="n">
        <v>45227</v>
      </c>
      <c r="D3610" t="inlineStr">
        <is>
          <t>VÄSTRA GÖTALANDS LÄN</t>
        </is>
      </c>
      <c r="E3610" t="inlineStr">
        <is>
          <t>DALS-ED</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61911-2019</t>
        </is>
      </c>
      <c r="B3611" s="1" t="n">
        <v>43787</v>
      </c>
      <c r="C3611" s="1" t="n">
        <v>45227</v>
      </c>
      <c r="D3611" t="inlineStr">
        <is>
          <t>VÄSTRA GÖTALANDS LÄN</t>
        </is>
      </c>
      <c r="E3611" t="inlineStr">
        <is>
          <t>VARA</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62024-2019</t>
        </is>
      </c>
      <c r="B3612" s="1" t="n">
        <v>43787</v>
      </c>
      <c r="C3612" s="1" t="n">
        <v>45227</v>
      </c>
      <c r="D3612" t="inlineStr">
        <is>
          <t>VÄSTRA GÖTALANDS LÄN</t>
        </is>
      </c>
      <c r="E3612" t="inlineStr">
        <is>
          <t>GÖTENE</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62047-2019</t>
        </is>
      </c>
      <c r="B3613" s="1" t="n">
        <v>43787</v>
      </c>
      <c r="C3613" s="1" t="n">
        <v>45227</v>
      </c>
      <c r="D3613" t="inlineStr">
        <is>
          <t>VÄSTRA GÖTALANDS LÄN</t>
        </is>
      </c>
      <c r="E3613" t="inlineStr">
        <is>
          <t>LIDKÖPING</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62086-2019</t>
        </is>
      </c>
      <c r="B3614" s="1" t="n">
        <v>43787</v>
      </c>
      <c r="C3614" s="1" t="n">
        <v>45227</v>
      </c>
      <c r="D3614" t="inlineStr">
        <is>
          <t>VÄSTRA GÖTALANDS LÄN</t>
        </is>
      </c>
      <c r="E3614" t="inlineStr">
        <is>
          <t>ÅMÅL</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62144-2019</t>
        </is>
      </c>
      <c r="B3615" s="1" t="n">
        <v>43787</v>
      </c>
      <c r="C3615" s="1" t="n">
        <v>45227</v>
      </c>
      <c r="D3615" t="inlineStr">
        <is>
          <t>VÄSTRA GÖTALANDS LÄN</t>
        </is>
      </c>
      <c r="E3615" t="inlineStr">
        <is>
          <t>BENGTSFORS</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62280-2019</t>
        </is>
      </c>
      <c r="B3616" s="1" t="n">
        <v>43788</v>
      </c>
      <c r="C3616" s="1" t="n">
        <v>45227</v>
      </c>
      <c r="D3616" t="inlineStr">
        <is>
          <t>VÄSTRA GÖTALANDS LÄN</t>
        </is>
      </c>
      <c r="E3616" t="inlineStr">
        <is>
          <t>SVENLJUNGA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62287-2019</t>
        </is>
      </c>
      <c r="B3617" s="1" t="n">
        <v>43788</v>
      </c>
      <c r="C3617" s="1" t="n">
        <v>45227</v>
      </c>
      <c r="D3617" t="inlineStr">
        <is>
          <t>VÄSTRA GÖTALANDS LÄN</t>
        </is>
      </c>
      <c r="E3617" t="inlineStr">
        <is>
          <t>MARK</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62397-2019</t>
        </is>
      </c>
      <c r="B3618" s="1" t="n">
        <v>43788</v>
      </c>
      <c r="C3618" s="1" t="n">
        <v>45227</v>
      </c>
      <c r="D3618" t="inlineStr">
        <is>
          <t>VÄSTRA GÖTALANDS LÄN</t>
        </is>
      </c>
      <c r="E3618" t="inlineStr">
        <is>
          <t>MELLERUD</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62283-2019</t>
        </is>
      </c>
      <c r="B3619" s="1" t="n">
        <v>43788</v>
      </c>
      <c r="C3619" s="1" t="n">
        <v>45227</v>
      </c>
      <c r="D3619" t="inlineStr">
        <is>
          <t>VÄSTRA GÖTALANDS LÄN</t>
        </is>
      </c>
      <c r="E3619" t="inlineStr">
        <is>
          <t>SVENLJUNGA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62386-2019</t>
        </is>
      </c>
      <c r="B3620" s="1" t="n">
        <v>43788</v>
      </c>
      <c r="C3620" s="1" t="n">
        <v>45227</v>
      </c>
      <c r="D3620" t="inlineStr">
        <is>
          <t>VÄSTRA GÖTALANDS LÄN</t>
        </is>
      </c>
      <c r="E3620" t="inlineStr">
        <is>
          <t>ORUST</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63716-2019</t>
        </is>
      </c>
      <c r="B3621" s="1" t="n">
        <v>43788</v>
      </c>
      <c r="C3621" s="1" t="n">
        <v>45227</v>
      </c>
      <c r="D3621" t="inlineStr">
        <is>
          <t>VÄSTRA GÖTALANDS LÄN</t>
        </is>
      </c>
      <c r="E3621" t="inlineStr">
        <is>
          <t>TANUM</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62223-2019</t>
        </is>
      </c>
      <c r="B3622" s="1" t="n">
        <v>43788</v>
      </c>
      <c r="C3622" s="1" t="n">
        <v>45227</v>
      </c>
      <c r="D3622" t="inlineStr">
        <is>
          <t>VÄSTRA GÖTALANDS LÄN</t>
        </is>
      </c>
      <c r="E3622" t="inlineStr">
        <is>
          <t>ALINGSÅS</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62279-2019</t>
        </is>
      </c>
      <c r="B3623" s="1" t="n">
        <v>43788</v>
      </c>
      <c r="C3623" s="1" t="n">
        <v>45227</v>
      </c>
      <c r="D3623" t="inlineStr">
        <is>
          <t>VÄSTRA GÖTALANDS LÄN</t>
        </is>
      </c>
      <c r="E3623" t="inlineStr">
        <is>
          <t>SVENLJUNGA</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62306-2019</t>
        </is>
      </c>
      <c r="B3624" s="1" t="n">
        <v>43788</v>
      </c>
      <c r="C3624" s="1" t="n">
        <v>45227</v>
      </c>
      <c r="D3624" t="inlineStr">
        <is>
          <t>VÄSTRA GÖTALANDS LÄN</t>
        </is>
      </c>
      <c r="E3624" t="inlineStr">
        <is>
          <t>FÄRGELANDA</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62389-2019</t>
        </is>
      </c>
      <c r="B3625" s="1" t="n">
        <v>43788</v>
      </c>
      <c r="C3625" s="1" t="n">
        <v>45227</v>
      </c>
      <c r="D3625" t="inlineStr">
        <is>
          <t>VÄSTRA GÖTALANDS LÄN</t>
        </is>
      </c>
      <c r="E3625" t="inlineStr">
        <is>
          <t>ORUST</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62396-2019</t>
        </is>
      </c>
      <c r="B3626" s="1" t="n">
        <v>43788</v>
      </c>
      <c r="C3626" s="1" t="n">
        <v>45227</v>
      </c>
      <c r="D3626" t="inlineStr">
        <is>
          <t>VÄSTRA GÖTALANDS LÄN</t>
        </is>
      </c>
      <c r="E3626" t="inlineStr">
        <is>
          <t>MELLERUD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62403-2019</t>
        </is>
      </c>
      <c r="B3627" s="1" t="n">
        <v>43788</v>
      </c>
      <c r="C3627" s="1" t="n">
        <v>45227</v>
      </c>
      <c r="D3627" t="inlineStr">
        <is>
          <t>VÄSTRA GÖTALANDS LÄN</t>
        </is>
      </c>
      <c r="E3627" t="inlineStr">
        <is>
          <t>MÖLNDAL</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62446-2019</t>
        </is>
      </c>
      <c r="B3628" s="1" t="n">
        <v>43788</v>
      </c>
      <c r="C3628" s="1" t="n">
        <v>45227</v>
      </c>
      <c r="D3628" t="inlineStr">
        <is>
          <t>VÄSTRA GÖTALANDS LÄN</t>
        </is>
      </c>
      <c r="E3628" t="inlineStr">
        <is>
          <t>FALKÖPING</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62261-2019</t>
        </is>
      </c>
      <c r="B3629" s="1" t="n">
        <v>43788</v>
      </c>
      <c r="C3629" s="1" t="n">
        <v>45227</v>
      </c>
      <c r="D3629" t="inlineStr">
        <is>
          <t>VÄSTRA GÖTALANDS LÄN</t>
        </is>
      </c>
      <c r="E3629" t="inlineStr">
        <is>
          <t>LERUM</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62285-2019</t>
        </is>
      </c>
      <c r="B3630" s="1" t="n">
        <v>43788</v>
      </c>
      <c r="C3630" s="1" t="n">
        <v>45227</v>
      </c>
      <c r="D3630" t="inlineStr">
        <is>
          <t>VÄSTRA GÖTALANDS LÄN</t>
        </is>
      </c>
      <c r="E3630" t="inlineStr">
        <is>
          <t>MARK</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62293-2019</t>
        </is>
      </c>
      <c r="B3631" s="1" t="n">
        <v>43788</v>
      </c>
      <c r="C3631" s="1" t="n">
        <v>45227</v>
      </c>
      <c r="D3631" t="inlineStr">
        <is>
          <t>VÄSTRA GÖTALANDS LÄN</t>
        </is>
      </c>
      <c r="E3631" t="inlineStr">
        <is>
          <t>MARK</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62350-2019</t>
        </is>
      </c>
      <c r="B3632" s="1" t="n">
        <v>43788</v>
      </c>
      <c r="C3632" s="1" t="n">
        <v>45227</v>
      </c>
      <c r="D3632" t="inlineStr">
        <is>
          <t>VÄSTRA GÖTALANDS LÄN</t>
        </is>
      </c>
      <c r="E3632" t="inlineStr">
        <is>
          <t>BORÅS</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62362-2019</t>
        </is>
      </c>
      <c r="B3633" s="1" t="n">
        <v>43788</v>
      </c>
      <c r="C3633" s="1" t="n">
        <v>45227</v>
      </c>
      <c r="D3633" t="inlineStr">
        <is>
          <t>VÄSTRA GÖTALANDS LÄN</t>
        </is>
      </c>
      <c r="E3633" t="inlineStr">
        <is>
          <t>BORÅS</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62685-2019</t>
        </is>
      </c>
      <c r="B3634" s="1" t="n">
        <v>43789</v>
      </c>
      <c r="C3634" s="1" t="n">
        <v>45227</v>
      </c>
      <c r="D3634" t="inlineStr">
        <is>
          <t>VÄSTRA GÖTALANDS LÄN</t>
        </is>
      </c>
      <c r="E3634" t="inlineStr">
        <is>
          <t>ULRICEHAMN</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63598-2019</t>
        </is>
      </c>
      <c r="B3635" s="1" t="n">
        <v>43789</v>
      </c>
      <c r="C3635" s="1" t="n">
        <v>45227</v>
      </c>
      <c r="D3635" t="inlineStr">
        <is>
          <t>VÄSTRA GÖTALANDS LÄN</t>
        </is>
      </c>
      <c r="E3635" t="inlineStr">
        <is>
          <t>MARIESTAD</t>
        </is>
      </c>
      <c r="G3635" t="n">
        <v>5.3</v>
      </c>
      <c r="H3635" t="n">
        <v>0</v>
      </c>
      <c r="I3635" t="n">
        <v>0</v>
      </c>
      <c r="J3635" t="n">
        <v>0</v>
      </c>
      <c r="K3635" t="n">
        <v>0</v>
      </c>
      <c r="L3635" t="n">
        <v>0</v>
      </c>
      <c r="M3635" t="n">
        <v>0</v>
      </c>
      <c r="N3635" t="n">
        <v>0</v>
      </c>
      <c r="O3635" t="n">
        <v>0</v>
      </c>
      <c r="P3635" t="n">
        <v>0</v>
      </c>
      <c r="Q3635" t="n">
        <v>0</v>
      </c>
      <c r="R3635" s="2" t="inlineStr"/>
    </row>
    <row r="3636" ht="15" customHeight="1">
      <c r="A3636" t="inlineStr">
        <is>
          <t>A 62543-2019</t>
        </is>
      </c>
      <c r="B3636" s="1" t="n">
        <v>43789</v>
      </c>
      <c r="C3636" s="1" t="n">
        <v>45227</v>
      </c>
      <c r="D3636" t="inlineStr">
        <is>
          <t>VÄSTRA GÖTALANDS LÄN</t>
        </is>
      </c>
      <c r="E3636" t="inlineStr">
        <is>
          <t>BORÅS</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62684-2019</t>
        </is>
      </c>
      <c r="B3637" s="1" t="n">
        <v>43789</v>
      </c>
      <c r="C3637" s="1" t="n">
        <v>45227</v>
      </c>
      <c r="D3637" t="inlineStr">
        <is>
          <t>VÄSTRA GÖTALANDS LÄN</t>
        </is>
      </c>
      <c r="E3637" t="inlineStr">
        <is>
          <t>TIBRO</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63694-2019</t>
        </is>
      </c>
      <c r="B3638" s="1" t="n">
        <v>43789</v>
      </c>
      <c r="C3638" s="1" t="n">
        <v>45227</v>
      </c>
      <c r="D3638" t="inlineStr">
        <is>
          <t>VÄSTRA GÖTALANDS LÄN</t>
        </is>
      </c>
      <c r="E3638" t="inlineStr">
        <is>
          <t>MARIESTAD</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62749-2019</t>
        </is>
      </c>
      <c r="B3639" s="1" t="n">
        <v>43790</v>
      </c>
      <c r="C3639" s="1" t="n">
        <v>45227</v>
      </c>
      <c r="D3639" t="inlineStr">
        <is>
          <t>VÄSTRA GÖTALANDS LÄN</t>
        </is>
      </c>
      <c r="E3639" t="inlineStr">
        <is>
          <t>TROLLHÄTTAN</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62891-2019</t>
        </is>
      </c>
      <c r="B3640" s="1" t="n">
        <v>43790</v>
      </c>
      <c r="C3640" s="1" t="n">
        <v>45227</v>
      </c>
      <c r="D3640" t="inlineStr">
        <is>
          <t>VÄSTRA GÖTALANDS LÄN</t>
        </is>
      </c>
      <c r="E3640" t="inlineStr">
        <is>
          <t>SVENLJUNGA</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62969-2019</t>
        </is>
      </c>
      <c r="B3641" s="1" t="n">
        <v>43790</v>
      </c>
      <c r="C3641" s="1" t="n">
        <v>45227</v>
      </c>
      <c r="D3641" t="inlineStr">
        <is>
          <t>VÄSTRA GÖTALANDS LÄN</t>
        </is>
      </c>
      <c r="E3641" t="inlineStr">
        <is>
          <t>LIDKÖPING</t>
        </is>
      </c>
      <c r="F3641" t="inlineStr">
        <is>
          <t>Kyrkan</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62992-2019</t>
        </is>
      </c>
      <c r="B3642" s="1" t="n">
        <v>43790</v>
      </c>
      <c r="C3642" s="1" t="n">
        <v>45227</v>
      </c>
      <c r="D3642" t="inlineStr">
        <is>
          <t>VÄSTRA GÖTALANDS LÄN</t>
        </is>
      </c>
      <c r="E3642" t="inlineStr">
        <is>
          <t>FALKÖPING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62949-2019</t>
        </is>
      </c>
      <c r="B3643" s="1" t="n">
        <v>43790</v>
      </c>
      <c r="C3643" s="1" t="n">
        <v>45227</v>
      </c>
      <c r="D3643" t="inlineStr">
        <is>
          <t>VÄSTRA GÖTALANDS LÄN</t>
        </is>
      </c>
      <c r="E3643" t="inlineStr">
        <is>
          <t>TROLLHÄTTAN</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62998-2019</t>
        </is>
      </c>
      <c r="B3644" s="1" t="n">
        <v>43790</v>
      </c>
      <c r="C3644" s="1" t="n">
        <v>45227</v>
      </c>
      <c r="D3644" t="inlineStr">
        <is>
          <t>VÄSTRA GÖTALANDS LÄN</t>
        </is>
      </c>
      <c r="E3644" t="inlineStr">
        <is>
          <t>ALINGSÅS</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62762-2019</t>
        </is>
      </c>
      <c r="B3645" s="1" t="n">
        <v>43790</v>
      </c>
      <c r="C3645" s="1" t="n">
        <v>45227</v>
      </c>
      <c r="D3645" t="inlineStr">
        <is>
          <t>VÄSTRA GÖTALANDS LÄN</t>
        </is>
      </c>
      <c r="E3645" t="inlineStr">
        <is>
          <t>FALKÖPING</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62881-2019</t>
        </is>
      </c>
      <c r="B3646" s="1" t="n">
        <v>43790</v>
      </c>
      <c r="C3646" s="1" t="n">
        <v>45227</v>
      </c>
      <c r="D3646" t="inlineStr">
        <is>
          <t>VÄSTRA GÖTALANDS LÄN</t>
        </is>
      </c>
      <c r="E3646" t="inlineStr">
        <is>
          <t>GÖTENE</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62907-2019</t>
        </is>
      </c>
      <c r="B3647" s="1" t="n">
        <v>43790</v>
      </c>
      <c r="C3647" s="1" t="n">
        <v>45227</v>
      </c>
      <c r="D3647" t="inlineStr">
        <is>
          <t>VÄSTRA GÖTALANDS LÄN</t>
        </is>
      </c>
      <c r="E3647" t="inlineStr">
        <is>
          <t>STRÖMSTAD</t>
        </is>
      </c>
      <c r="G3647" t="n">
        <v>3.3</v>
      </c>
      <c r="H3647" t="n">
        <v>0</v>
      </c>
      <c r="I3647" t="n">
        <v>0</v>
      </c>
      <c r="J3647" t="n">
        <v>0</v>
      </c>
      <c r="K3647" t="n">
        <v>0</v>
      </c>
      <c r="L3647" t="n">
        <v>0</v>
      </c>
      <c r="M3647" t="n">
        <v>0</v>
      </c>
      <c r="N3647" t="n">
        <v>0</v>
      </c>
      <c r="O3647" t="n">
        <v>0</v>
      </c>
      <c r="P3647" t="n">
        <v>0</v>
      </c>
      <c r="Q3647" t="n">
        <v>0</v>
      </c>
      <c r="R3647" s="2" t="inlineStr"/>
    </row>
    <row r="3648" ht="15" customHeight="1">
      <c r="A3648" t="inlineStr">
        <is>
          <t>A 62953-2019</t>
        </is>
      </c>
      <c r="B3648" s="1" t="n">
        <v>43790</v>
      </c>
      <c r="C3648" s="1" t="n">
        <v>45227</v>
      </c>
      <c r="D3648" t="inlineStr">
        <is>
          <t>VÄSTRA GÖTALANDS LÄN</t>
        </is>
      </c>
      <c r="E3648" t="inlineStr">
        <is>
          <t>UDDEVALLA</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62967-2019</t>
        </is>
      </c>
      <c r="B3649" s="1" t="n">
        <v>43790</v>
      </c>
      <c r="C3649" s="1" t="n">
        <v>45227</v>
      </c>
      <c r="D3649" t="inlineStr">
        <is>
          <t>VÄSTRA GÖTALANDS LÄN</t>
        </is>
      </c>
      <c r="E3649" t="inlineStr">
        <is>
          <t>SKARA</t>
        </is>
      </c>
      <c r="F3649" t="inlineStr">
        <is>
          <t>Kyrkan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62944-2019</t>
        </is>
      </c>
      <c r="B3650" s="1" t="n">
        <v>43790</v>
      </c>
      <c r="C3650" s="1" t="n">
        <v>45227</v>
      </c>
      <c r="D3650" t="inlineStr">
        <is>
          <t>VÄSTRA GÖTALANDS LÄN</t>
        </is>
      </c>
      <c r="E3650" t="inlineStr">
        <is>
          <t>TIDAHOLM</t>
        </is>
      </c>
      <c r="G3650" t="n">
        <v>3.7</v>
      </c>
      <c r="H3650" t="n">
        <v>0</v>
      </c>
      <c r="I3650" t="n">
        <v>0</v>
      </c>
      <c r="J3650" t="n">
        <v>0</v>
      </c>
      <c r="K3650" t="n">
        <v>0</v>
      </c>
      <c r="L3650" t="n">
        <v>0</v>
      </c>
      <c r="M3650" t="n">
        <v>0</v>
      </c>
      <c r="N3650" t="n">
        <v>0</v>
      </c>
      <c r="O3650" t="n">
        <v>0</v>
      </c>
      <c r="P3650" t="n">
        <v>0</v>
      </c>
      <c r="Q3650" t="n">
        <v>0</v>
      </c>
      <c r="R3650" s="2" t="inlineStr"/>
    </row>
    <row r="3651" ht="15" customHeight="1">
      <c r="A3651" t="inlineStr">
        <is>
          <t>A 62996-2019</t>
        </is>
      </c>
      <c r="B3651" s="1" t="n">
        <v>43790</v>
      </c>
      <c r="C3651" s="1" t="n">
        <v>45227</v>
      </c>
      <c r="D3651" t="inlineStr">
        <is>
          <t>VÄSTRA GÖTALANDS LÄN</t>
        </is>
      </c>
      <c r="E3651" t="inlineStr">
        <is>
          <t>ALINGSÅS</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63030-2019</t>
        </is>
      </c>
      <c r="B3652" s="1" t="n">
        <v>43790</v>
      </c>
      <c r="C3652" s="1" t="n">
        <v>45227</v>
      </c>
      <c r="D3652" t="inlineStr">
        <is>
          <t>VÄSTRA GÖTALANDS LÄN</t>
        </is>
      </c>
      <c r="E3652" t="inlineStr">
        <is>
          <t>STRÖMSTAD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63021-2019</t>
        </is>
      </c>
      <c r="B3653" s="1" t="n">
        <v>43791</v>
      </c>
      <c r="C3653" s="1" t="n">
        <v>45227</v>
      </c>
      <c r="D3653" t="inlineStr">
        <is>
          <t>VÄSTRA GÖTALANDS LÄN</t>
        </is>
      </c>
      <c r="E3653" t="inlineStr">
        <is>
          <t>FALKÖPING</t>
        </is>
      </c>
      <c r="G3653" t="n">
        <v>3.1</v>
      </c>
      <c r="H3653" t="n">
        <v>0</v>
      </c>
      <c r="I3653" t="n">
        <v>0</v>
      </c>
      <c r="J3653" t="n">
        <v>0</v>
      </c>
      <c r="K3653" t="n">
        <v>0</v>
      </c>
      <c r="L3653" t="n">
        <v>0</v>
      </c>
      <c r="M3653" t="n">
        <v>0</v>
      </c>
      <c r="N3653" t="n">
        <v>0</v>
      </c>
      <c r="O3653" t="n">
        <v>0</v>
      </c>
      <c r="P3653" t="n">
        <v>0</v>
      </c>
      <c r="Q3653" t="n">
        <v>0</v>
      </c>
      <c r="R3653" s="2" t="inlineStr"/>
    </row>
    <row r="3654" ht="15" customHeight="1">
      <c r="A3654" t="inlineStr">
        <is>
          <t>A 63088-2019</t>
        </is>
      </c>
      <c r="B3654" s="1" t="n">
        <v>43791</v>
      </c>
      <c r="C3654" s="1" t="n">
        <v>45227</v>
      </c>
      <c r="D3654" t="inlineStr">
        <is>
          <t>VÄSTRA GÖTALANDS LÄN</t>
        </is>
      </c>
      <c r="E3654" t="inlineStr">
        <is>
          <t>SVENLJUNGA</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63205-2019</t>
        </is>
      </c>
      <c r="B3655" s="1" t="n">
        <v>43791</v>
      </c>
      <c r="C3655" s="1" t="n">
        <v>45227</v>
      </c>
      <c r="D3655" t="inlineStr">
        <is>
          <t>VÄSTRA GÖTALANDS LÄN</t>
        </is>
      </c>
      <c r="E3655" t="inlineStr">
        <is>
          <t>TRANEMO</t>
        </is>
      </c>
      <c r="F3655" t="inlineStr">
        <is>
          <t>Kyrkan</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63062-2019</t>
        </is>
      </c>
      <c r="B3656" s="1" t="n">
        <v>43791</v>
      </c>
      <c r="C3656" s="1" t="n">
        <v>45227</v>
      </c>
      <c r="D3656" t="inlineStr">
        <is>
          <t>VÄSTRA GÖTALANDS LÄN</t>
        </is>
      </c>
      <c r="E3656" t="inlineStr">
        <is>
          <t>BORÅS</t>
        </is>
      </c>
      <c r="F3656" t="inlineStr">
        <is>
          <t>Kommuner</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63020-2019</t>
        </is>
      </c>
      <c r="B3657" s="1" t="n">
        <v>43791</v>
      </c>
      <c r="C3657" s="1" t="n">
        <v>45227</v>
      </c>
      <c r="D3657" t="inlineStr">
        <is>
          <t>VÄSTRA GÖTALANDS LÄN</t>
        </is>
      </c>
      <c r="E3657" t="inlineStr">
        <is>
          <t>SKÖVDE</t>
        </is>
      </c>
      <c r="G3657" t="n">
        <v>1.9</v>
      </c>
      <c r="H3657" t="n">
        <v>0</v>
      </c>
      <c r="I3657" t="n">
        <v>0</v>
      </c>
      <c r="J3657" t="n">
        <v>0</v>
      </c>
      <c r="K3657" t="n">
        <v>0</v>
      </c>
      <c r="L3657" t="n">
        <v>0</v>
      </c>
      <c r="M3657" t="n">
        <v>0</v>
      </c>
      <c r="N3657" t="n">
        <v>0</v>
      </c>
      <c r="O3657" t="n">
        <v>0</v>
      </c>
      <c r="P3657" t="n">
        <v>0</v>
      </c>
      <c r="Q3657" t="n">
        <v>0</v>
      </c>
      <c r="R3657" s="2" t="inlineStr"/>
    </row>
    <row r="3658" ht="15" customHeight="1">
      <c r="A3658" t="inlineStr">
        <is>
          <t>A 63173-2019</t>
        </is>
      </c>
      <c r="B3658" s="1" t="n">
        <v>43791</v>
      </c>
      <c r="C3658" s="1" t="n">
        <v>45227</v>
      </c>
      <c r="D3658" t="inlineStr">
        <is>
          <t>VÄSTRA GÖTALANDS LÄN</t>
        </is>
      </c>
      <c r="E3658" t="inlineStr">
        <is>
          <t>MUNKEDAL</t>
        </is>
      </c>
      <c r="G3658" t="n">
        <v>5.6</v>
      </c>
      <c r="H3658" t="n">
        <v>0</v>
      </c>
      <c r="I3658" t="n">
        <v>0</v>
      </c>
      <c r="J3658" t="n">
        <v>0</v>
      </c>
      <c r="K3658" t="n">
        <v>0</v>
      </c>
      <c r="L3658" t="n">
        <v>0</v>
      </c>
      <c r="M3658" t="n">
        <v>0</v>
      </c>
      <c r="N3658" t="n">
        <v>0</v>
      </c>
      <c r="O3658" t="n">
        <v>0</v>
      </c>
      <c r="P3658" t="n">
        <v>0</v>
      </c>
      <c r="Q3658" t="n">
        <v>0</v>
      </c>
      <c r="R3658" s="2" t="inlineStr"/>
    </row>
    <row r="3659" ht="15" customHeight="1">
      <c r="A3659" t="inlineStr">
        <is>
          <t>A 64507-2019</t>
        </is>
      </c>
      <c r="B3659" s="1" t="n">
        <v>43793</v>
      </c>
      <c r="C3659" s="1" t="n">
        <v>45227</v>
      </c>
      <c r="D3659" t="inlineStr">
        <is>
          <t>VÄSTRA GÖTALANDS LÄN</t>
        </is>
      </c>
      <c r="E3659" t="inlineStr">
        <is>
          <t>TANUM</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64359-2019</t>
        </is>
      </c>
      <c r="B3660" s="1" t="n">
        <v>43793</v>
      </c>
      <c r="C3660" s="1" t="n">
        <v>45227</v>
      </c>
      <c r="D3660" t="inlineStr">
        <is>
          <t>VÄSTRA GÖTALANDS LÄN</t>
        </is>
      </c>
      <c r="E3660" t="inlineStr">
        <is>
          <t>STRÖMSTAD</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63248-2019</t>
        </is>
      </c>
      <c r="B3661" s="1" t="n">
        <v>43793</v>
      </c>
      <c r="C3661" s="1" t="n">
        <v>45227</v>
      </c>
      <c r="D3661" t="inlineStr">
        <is>
          <t>VÄSTRA GÖTALANDS LÄN</t>
        </is>
      </c>
      <c r="E3661" t="inlineStr">
        <is>
          <t>FÄRGELANDA</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63272-2019</t>
        </is>
      </c>
      <c r="B3662" s="1" t="n">
        <v>43794</v>
      </c>
      <c r="C3662" s="1" t="n">
        <v>45227</v>
      </c>
      <c r="D3662" t="inlineStr">
        <is>
          <t>VÄSTRA GÖTALANDS LÄN</t>
        </is>
      </c>
      <c r="E3662" t="inlineStr">
        <is>
          <t>SKÖVDE</t>
        </is>
      </c>
      <c r="G3662" t="n">
        <v>5.6</v>
      </c>
      <c r="H3662" t="n">
        <v>0</v>
      </c>
      <c r="I3662" t="n">
        <v>0</v>
      </c>
      <c r="J3662" t="n">
        <v>0</v>
      </c>
      <c r="K3662" t="n">
        <v>0</v>
      </c>
      <c r="L3662" t="n">
        <v>0</v>
      </c>
      <c r="M3662" t="n">
        <v>0</v>
      </c>
      <c r="N3662" t="n">
        <v>0</v>
      </c>
      <c r="O3662" t="n">
        <v>0</v>
      </c>
      <c r="P3662" t="n">
        <v>0</v>
      </c>
      <c r="Q3662" t="n">
        <v>0</v>
      </c>
      <c r="R3662" s="2" t="inlineStr"/>
    </row>
    <row r="3663" ht="15" customHeight="1">
      <c r="A3663" t="inlineStr">
        <is>
          <t>A 63363-2019</t>
        </is>
      </c>
      <c r="B3663" s="1" t="n">
        <v>43794</v>
      </c>
      <c r="C3663" s="1" t="n">
        <v>45227</v>
      </c>
      <c r="D3663" t="inlineStr">
        <is>
          <t>VÄSTRA GÖTALANDS LÄN</t>
        </is>
      </c>
      <c r="E3663" t="inlineStr">
        <is>
          <t>KARLSBORG</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63526-2019</t>
        </is>
      </c>
      <c r="B3664" s="1" t="n">
        <v>43794</v>
      </c>
      <c r="C3664" s="1" t="n">
        <v>45227</v>
      </c>
      <c r="D3664" t="inlineStr">
        <is>
          <t>VÄSTRA GÖTALANDS LÄN</t>
        </is>
      </c>
      <c r="E3664" t="inlineStr">
        <is>
          <t>STRÖMSTAD</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63542-2019</t>
        </is>
      </c>
      <c r="B3665" s="1" t="n">
        <v>43794</v>
      </c>
      <c r="C3665" s="1" t="n">
        <v>45227</v>
      </c>
      <c r="D3665" t="inlineStr">
        <is>
          <t>VÄSTRA GÖTALANDS LÄN</t>
        </is>
      </c>
      <c r="E3665" t="inlineStr">
        <is>
          <t>ALINGSÅS</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64602-2019</t>
        </is>
      </c>
      <c r="B3666" s="1" t="n">
        <v>43794</v>
      </c>
      <c r="C3666" s="1" t="n">
        <v>45227</v>
      </c>
      <c r="D3666" t="inlineStr">
        <is>
          <t>VÄSTRA GÖTALANDS LÄN</t>
        </is>
      </c>
      <c r="E3666" t="inlineStr">
        <is>
          <t>TANUM</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64333-2019</t>
        </is>
      </c>
      <c r="B3667" s="1" t="n">
        <v>43794</v>
      </c>
      <c r="C3667" s="1" t="n">
        <v>45227</v>
      </c>
      <c r="D3667" t="inlineStr">
        <is>
          <t>VÄSTRA GÖTALANDS LÄN</t>
        </is>
      </c>
      <c r="E3667" t="inlineStr">
        <is>
          <t>GÖTENE</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64599-2019</t>
        </is>
      </c>
      <c r="B3668" s="1" t="n">
        <v>43794</v>
      </c>
      <c r="C3668" s="1" t="n">
        <v>45227</v>
      </c>
      <c r="D3668" t="inlineStr">
        <is>
          <t>VÄSTRA GÖTALANDS LÄN</t>
        </is>
      </c>
      <c r="E3668" t="inlineStr">
        <is>
          <t>MUNKEDAL</t>
        </is>
      </c>
      <c r="G3668" t="n">
        <v>2.7</v>
      </c>
      <c r="H3668" t="n">
        <v>0</v>
      </c>
      <c r="I3668" t="n">
        <v>0</v>
      </c>
      <c r="J3668" t="n">
        <v>0</v>
      </c>
      <c r="K3668" t="n">
        <v>0</v>
      </c>
      <c r="L3668" t="n">
        <v>0</v>
      </c>
      <c r="M3668" t="n">
        <v>0</v>
      </c>
      <c r="N3668" t="n">
        <v>0</v>
      </c>
      <c r="O3668" t="n">
        <v>0</v>
      </c>
      <c r="P3668" t="n">
        <v>0</v>
      </c>
      <c r="Q3668" t="n">
        <v>0</v>
      </c>
      <c r="R3668" s="2" t="inlineStr"/>
    </row>
    <row r="3669" ht="15" customHeight="1">
      <c r="A3669" t="inlineStr">
        <is>
          <t>A 63365-2019</t>
        </is>
      </c>
      <c r="B3669" s="1" t="n">
        <v>43794</v>
      </c>
      <c r="C3669" s="1" t="n">
        <v>45227</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64665-2019</t>
        </is>
      </c>
      <c r="B3670" s="1" t="n">
        <v>43794</v>
      </c>
      <c r="C3670" s="1" t="n">
        <v>45227</v>
      </c>
      <c r="D3670" t="inlineStr">
        <is>
          <t>VÄSTRA GÖTALANDS LÄN</t>
        </is>
      </c>
      <c r="E3670" t="inlineStr">
        <is>
          <t>BENGTSFORS</t>
        </is>
      </c>
      <c r="F3670" t="inlineStr">
        <is>
          <t>Övriga Aktiebolag</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63364-2019</t>
        </is>
      </c>
      <c r="B3671" s="1" t="n">
        <v>43794</v>
      </c>
      <c r="C3671" s="1" t="n">
        <v>45227</v>
      </c>
      <c r="D3671" t="inlineStr">
        <is>
          <t>VÄSTRA GÖTALANDS LÄN</t>
        </is>
      </c>
      <c r="E3671" t="inlineStr">
        <is>
          <t>KARLSBORG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63660-2019</t>
        </is>
      </c>
      <c r="B3672" s="1" t="n">
        <v>43795</v>
      </c>
      <c r="C3672" s="1" t="n">
        <v>45227</v>
      </c>
      <c r="D3672" t="inlineStr">
        <is>
          <t>VÄSTRA GÖTALANDS LÄN</t>
        </is>
      </c>
      <c r="E3672" t="inlineStr">
        <is>
          <t>SKÖVDE</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63791-2019</t>
        </is>
      </c>
      <c r="B3673" s="1" t="n">
        <v>43795</v>
      </c>
      <c r="C3673" s="1" t="n">
        <v>45227</v>
      </c>
      <c r="D3673" t="inlineStr">
        <is>
          <t>VÄSTRA GÖTALANDS LÄN</t>
        </is>
      </c>
      <c r="E3673" t="inlineStr">
        <is>
          <t>ULRICEHAMN</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64800-2019</t>
        </is>
      </c>
      <c r="B3674" s="1" t="n">
        <v>43795</v>
      </c>
      <c r="C3674" s="1" t="n">
        <v>45227</v>
      </c>
      <c r="D3674" t="inlineStr">
        <is>
          <t>VÄSTRA GÖTALANDS LÄN</t>
        </is>
      </c>
      <c r="E3674" t="inlineStr">
        <is>
          <t>LIDKÖPING</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64824-2019</t>
        </is>
      </c>
      <c r="B3675" s="1" t="n">
        <v>43795</v>
      </c>
      <c r="C3675" s="1" t="n">
        <v>45227</v>
      </c>
      <c r="D3675" t="inlineStr">
        <is>
          <t>VÄSTRA GÖTALANDS LÄN</t>
        </is>
      </c>
      <c r="E3675" t="inlineStr">
        <is>
          <t>STRÖMSTAD</t>
        </is>
      </c>
      <c r="G3675" t="n">
        <v>5.3</v>
      </c>
      <c r="H3675" t="n">
        <v>0</v>
      </c>
      <c r="I3675" t="n">
        <v>0</v>
      </c>
      <c r="J3675" t="n">
        <v>0</v>
      </c>
      <c r="K3675" t="n">
        <v>0</v>
      </c>
      <c r="L3675" t="n">
        <v>0</v>
      </c>
      <c r="M3675" t="n">
        <v>0</v>
      </c>
      <c r="N3675" t="n">
        <v>0</v>
      </c>
      <c r="O3675" t="n">
        <v>0</v>
      </c>
      <c r="P3675" t="n">
        <v>0</v>
      </c>
      <c r="Q3675" t="n">
        <v>0</v>
      </c>
      <c r="R3675" s="2" t="inlineStr"/>
    </row>
    <row r="3676" ht="15" customHeight="1">
      <c r="A3676" t="inlineStr">
        <is>
          <t>A 64878-2019</t>
        </is>
      </c>
      <c r="B3676" s="1" t="n">
        <v>43795</v>
      </c>
      <c r="C3676" s="1" t="n">
        <v>45227</v>
      </c>
      <c r="D3676" t="inlineStr">
        <is>
          <t>VÄSTRA GÖTALANDS LÄN</t>
        </is>
      </c>
      <c r="E3676" t="inlineStr">
        <is>
          <t>VARA</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64921-2019</t>
        </is>
      </c>
      <c r="B3677" s="1" t="n">
        <v>43795</v>
      </c>
      <c r="C3677" s="1" t="n">
        <v>45227</v>
      </c>
      <c r="D3677" t="inlineStr">
        <is>
          <t>VÄSTRA GÖTALANDS LÄN</t>
        </is>
      </c>
      <c r="E3677" t="inlineStr">
        <is>
          <t>TANUM</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63590-2019</t>
        </is>
      </c>
      <c r="B3678" s="1" t="n">
        <v>43795</v>
      </c>
      <c r="C3678" s="1" t="n">
        <v>45227</v>
      </c>
      <c r="D3678" t="inlineStr">
        <is>
          <t>VÄSTRA GÖTALANDS LÄN</t>
        </is>
      </c>
      <c r="E3678" t="inlineStr">
        <is>
          <t>UDDEVALLA</t>
        </is>
      </c>
      <c r="G3678" t="n">
        <v>4.9</v>
      </c>
      <c r="H3678" t="n">
        <v>0</v>
      </c>
      <c r="I3678" t="n">
        <v>0</v>
      </c>
      <c r="J3678" t="n">
        <v>0</v>
      </c>
      <c r="K3678" t="n">
        <v>0</v>
      </c>
      <c r="L3678" t="n">
        <v>0</v>
      </c>
      <c r="M3678" t="n">
        <v>0</v>
      </c>
      <c r="N3678" t="n">
        <v>0</v>
      </c>
      <c r="O3678" t="n">
        <v>0</v>
      </c>
      <c r="P3678" t="n">
        <v>0</v>
      </c>
      <c r="Q3678" t="n">
        <v>0</v>
      </c>
      <c r="R3678" s="2" t="inlineStr"/>
    </row>
    <row r="3679" ht="15" customHeight="1">
      <c r="A3679" t="inlineStr">
        <is>
          <t>A 63687-2019</t>
        </is>
      </c>
      <c r="B3679" s="1" t="n">
        <v>43795</v>
      </c>
      <c r="C3679" s="1" t="n">
        <v>45227</v>
      </c>
      <c r="D3679" t="inlineStr">
        <is>
          <t>VÄSTRA GÖTALANDS LÄN</t>
        </is>
      </c>
      <c r="E3679" t="inlineStr">
        <is>
          <t>VÅRGÅRDA</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63705-2019</t>
        </is>
      </c>
      <c r="B3680" s="1" t="n">
        <v>43795</v>
      </c>
      <c r="C3680" s="1" t="n">
        <v>45227</v>
      </c>
      <c r="D3680" t="inlineStr">
        <is>
          <t>VÄSTRA GÖTALANDS LÄN</t>
        </is>
      </c>
      <c r="E3680" t="inlineStr">
        <is>
          <t>ALINGSÅS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63723-2019</t>
        </is>
      </c>
      <c r="B3681" s="1" t="n">
        <v>43795</v>
      </c>
      <c r="C3681" s="1" t="n">
        <v>45227</v>
      </c>
      <c r="D3681" t="inlineStr">
        <is>
          <t>VÄSTRA GÖTALANDS LÄN</t>
        </is>
      </c>
      <c r="E3681" t="inlineStr">
        <is>
          <t>BORÅS</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64807-2019</t>
        </is>
      </c>
      <c r="B3682" s="1" t="n">
        <v>43795</v>
      </c>
      <c r="C3682" s="1" t="n">
        <v>45227</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63621-2019</t>
        </is>
      </c>
      <c r="B3683" s="1" t="n">
        <v>43795</v>
      </c>
      <c r="C3683" s="1" t="n">
        <v>45227</v>
      </c>
      <c r="D3683" t="inlineStr">
        <is>
          <t>VÄSTRA GÖTALANDS LÄN</t>
        </is>
      </c>
      <c r="E3683" t="inlineStr">
        <is>
          <t>LIDKÖPING</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63700-2019</t>
        </is>
      </c>
      <c r="B3684" s="1" t="n">
        <v>43795</v>
      </c>
      <c r="C3684" s="1" t="n">
        <v>45227</v>
      </c>
      <c r="D3684" t="inlineStr">
        <is>
          <t>VÄSTRA GÖTALANDS LÄN</t>
        </is>
      </c>
      <c r="E3684" t="inlineStr">
        <is>
          <t>TRANEMO</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63792-2019</t>
        </is>
      </c>
      <c r="B3685" s="1" t="n">
        <v>43795</v>
      </c>
      <c r="C3685" s="1" t="n">
        <v>45227</v>
      </c>
      <c r="D3685" t="inlineStr">
        <is>
          <t>VÄSTRA GÖTALANDS LÄN</t>
        </is>
      </c>
      <c r="E3685" t="inlineStr">
        <is>
          <t>TIDAHOLM</t>
        </is>
      </c>
      <c r="G3685" t="n">
        <v>4.2</v>
      </c>
      <c r="H3685" t="n">
        <v>0</v>
      </c>
      <c r="I3685" t="n">
        <v>0</v>
      </c>
      <c r="J3685" t="n">
        <v>0</v>
      </c>
      <c r="K3685" t="n">
        <v>0</v>
      </c>
      <c r="L3685" t="n">
        <v>0</v>
      </c>
      <c r="M3685" t="n">
        <v>0</v>
      </c>
      <c r="N3685" t="n">
        <v>0</v>
      </c>
      <c r="O3685" t="n">
        <v>0</v>
      </c>
      <c r="P3685" t="n">
        <v>0</v>
      </c>
      <c r="Q3685" t="n">
        <v>0</v>
      </c>
      <c r="R3685" s="2" t="inlineStr"/>
    </row>
    <row r="3686" ht="15" customHeight="1">
      <c r="A3686" t="inlineStr">
        <is>
          <t>A 63828-2019</t>
        </is>
      </c>
      <c r="B3686" s="1" t="n">
        <v>43795</v>
      </c>
      <c r="C3686" s="1" t="n">
        <v>45227</v>
      </c>
      <c r="D3686" t="inlineStr">
        <is>
          <t>VÄSTRA GÖTALANDS LÄN</t>
        </is>
      </c>
      <c r="E3686" t="inlineStr">
        <is>
          <t>SVENLJUNGA</t>
        </is>
      </c>
      <c r="F3686" t="inlineStr">
        <is>
          <t>Sveaskog</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64802-2019</t>
        </is>
      </c>
      <c r="B3687" s="1" t="n">
        <v>43795</v>
      </c>
      <c r="C3687" s="1" t="n">
        <v>45227</v>
      </c>
      <c r="D3687" t="inlineStr">
        <is>
          <t>VÄSTRA GÖTALANDS LÄN</t>
        </is>
      </c>
      <c r="E3687" t="inlineStr">
        <is>
          <t>LIDKÖPING</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64924-2019</t>
        </is>
      </c>
      <c r="B3688" s="1" t="n">
        <v>43795</v>
      </c>
      <c r="C3688" s="1" t="n">
        <v>45227</v>
      </c>
      <c r="D3688" t="inlineStr">
        <is>
          <t>VÄSTRA GÖTALANDS LÄN</t>
        </is>
      </c>
      <c r="E3688" t="inlineStr">
        <is>
          <t>TANUM</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63599-2019</t>
        </is>
      </c>
      <c r="B3689" s="1" t="n">
        <v>43795</v>
      </c>
      <c r="C3689" s="1" t="n">
        <v>45227</v>
      </c>
      <c r="D3689" t="inlineStr">
        <is>
          <t>VÄSTRA GÖTALANDS LÄN</t>
        </is>
      </c>
      <c r="E3689" t="inlineStr">
        <is>
          <t>TANUM</t>
        </is>
      </c>
      <c r="G3689" t="n">
        <v>15.9</v>
      </c>
      <c r="H3689" t="n">
        <v>0</v>
      </c>
      <c r="I3689" t="n">
        <v>0</v>
      </c>
      <c r="J3689" t="n">
        <v>0</v>
      </c>
      <c r="K3689" t="n">
        <v>0</v>
      </c>
      <c r="L3689" t="n">
        <v>0</v>
      </c>
      <c r="M3689" t="n">
        <v>0</v>
      </c>
      <c r="N3689" t="n">
        <v>0</v>
      </c>
      <c r="O3689" t="n">
        <v>0</v>
      </c>
      <c r="P3689" t="n">
        <v>0</v>
      </c>
      <c r="Q3689" t="n">
        <v>0</v>
      </c>
      <c r="R3689" s="2" t="inlineStr"/>
    </row>
    <row r="3690" ht="15" customHeight="1">
      <c r="A3690" t="inlineStr">
        <is>
          <t>A 63645-2019</t>
        </is>
      </c>
      <c r="B3690" s="1" t="n">
        <v>43795</v>
      </c>
      <c r="C3690" s="1" t="n">
        <v>45227</v>
      </c>
      <c r="D3690" t="inlineStr">
        <is>
          <t>VÄSTRA GÖTALANDS LÄN</t>
        </is>
      </c>
      <c r="E3690" t="inlineStr">
        <is>
          <t>ESSUNGA</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63790-2019</t>
        </is>
      </c>
      <c r="B3691" s="1" t="n">
        <v>43795</v>
      </c>
      <c r="C3691" s="1" t="n">
        <v>45227</v>
      </c>
      <c r="D3691" t="inlineStr">
        <is>
          <t>VÄSTRA GÖTALANDS LÄN</t>
        </is>
      </c>
      <c r="E3691" t="inlineStr">
        <is>
          <t>TIDAHOLM</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63818-2019</t>
        </is>
      </c>
      <c r="B3692" s="1" t="n">
        <v>43795</v>
      </c>
      <c r="C3692" s="1" t="n">
        <v>45227</v>
      </c>
      <c r="D3692" t="inlineStr">
        <is>
          <t>VÄSTRA GÖTALANDS LÄN</t>
        </is>
      </c>
      <c r="E3692" t="inlineStr">
        <is>
          <t>MARIESTAD</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64810-2019</t>
        </is>
      </c>
      <c r="B3693" s="1" t="n">
        <v>43795</v>
      </c>
      <c r="C3693" s="1" t="n">
        <v>45227</v>
      </c>
      <c r="D3693" t="inlineStr">
        <is>
          <t>VÄSTRA GÖTALANDS LÄN</t>
        </is>
      </c>
      <c r="E3693" t="inlineStr">
        <is>
          <t>LIDKÖPING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63884-2019</t>
        </is>
      </c>
      <c r="B3694" s="1" t="n">
        <v>43796</v>
      </c>
      <c r="C3694" s="1" t="n">
        <v>45227</v>
      </c>
      <c r="D3694" t="inlineStr">
        <is>
          <t>VÄSTRA GÖTALANDS LÄN</t>
        </is>
      </c>
      <c r="E3694" t="inlineStr">
        <is>
          <t>FÄRGELANDA</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63903-2019</t>
        </is>
      </c>
      <c r="B3695" s="1" t="n">
        <v>43796</v>
      </c>
      <c r="C3695" s="1" t="n">
        <v>45227</v>
      </c>
      <c r="D3695" t="inlineStr">
        <is>
          <t>VÄSTRA GÖTALANDS LÄN</t>
        </is>
      </c>
      <c r="E3695" t="inlineStr">
        <is>
          <t>VARA</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63962-2019</t>
        </is>
      </c>
      <c r="B3696" s="1" t="n">
        <v>43796</v>
      </c>
      <c r="C3696" s="1" t="n">
        <v>45227</v>
      </c>
      <c r="D3696" t="inlineStr">
        <is>
          <t>VÄSTRA GÖTALANDS LÄN</t>
        </is>
      </c>
      <c r="E3696" t="inlineStr">
        <is>
          <t>TROLLHÄTTAN</t>
        </is>
      </c>
      <c r="F3696" t="inlineStr">
        <is>
          <t>Kommuner</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64009-2019</t>
        </is>
      </c>
      <c r="B3697" s="1" t="n">
        <v>43796</v>
      </c>
      <c r="C3697" s="1" t="n">
        <v>45227</v>
      </c>
      <c r="D3697" t="inlineStr">
        <is>
          <t>VÄSTRA GÖTALANDS LÄN</t>
        </is>
      </c>
      <c r="E3697" t="inlineStr">
        <is>
          <t>ESSUNGA</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64108-2019</t>
        </is>
      </c>
      <c r="B3698" s="1" t="n">
        <v>43796</v>
      </c>
      <c r="C3698" s="1" t="n">
        <v>45227</v>
      </c>
      <c r="D3698" t="inlineStr">
        <is>
          <t>VÄSTRA GÖTALANDS LÄN</t>
        </is>
      </c>
      <c r="E3698" t="inlineStr">
        <is>
          <t>KARLSBORG</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63960-2019</t>
        </is>
      </c>
      <c r="B3699" s="1" t="n">
        <v>43796</v>
      </c>
      <c r="C3699" s="1" t="n">
        <v>45227</v>
      </c>
      <c r="D3699" t="inlineStr">
        <is>
          <t>VÄSTRA GÖTALANDS LÄN</t>
        </is>
      </c>
      <c r="E3699" t="inlineStr">
        <is>
          <t>BENGTSFORS</t>
        </is>
      </c>
      <c r="G3699" t="n">
        <v>3.5</v>
      </c>
      <c r="H3699" t="n">
        <v>0</v>
      </c>
      <c r="I3699" t="n">
        <v>0</v>
      </c>
      <c r="J3699" t="n">
        <v>0</v>
      </c>
      <c r="K3699" t="n">
        <v>0</v>
      </c>
      <c r="L3699" t="n">
        <v>0</v>
      </c>
      <c r="M3699" t="n">
        <v>0</v>
      </c>
      <c r="N3699" t="n">
        <v>0</v>
      </c>
      <c r="O3699" t="n">
        <v>0</v>
      </c>
      <c r="P3699" t="n">
        <v>0</v>
      </c>
      <c r="Q3699" t="n">
        <v>0</v>
      </c>
      <c r="R3699" s="2" t="inlineStr"/>
    </row>
    <row r="3700" ht="15" customHeight="1">
      <c r="A3700" t="inlineStr">
        <is>
          <t>A 64017-2019</t>
        </is>
      </c>
      <c r="B3700" s="1" t="n">
        <v>43796</v>
      </c>
      <c r="C3700" s="1" t="n">
        <v>45227</v>
      </c>
      <c r="D3700" t="inlineStr">
        <is>
          <t>VÄSTRA GÖTALANDS LÄN</t>
        </is>
      </c>
      <c r="E3700" t="inlineStr">
        <is>
          <t>ULRICEHAMN</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63898-2019</t>
        </is>
      </c>
      <c r="B3701" s="1" t="n">
        <v>43796</v>
      </c>
      <c r="C3701" s="1" t="n">
        <v>45227</v>
      </c>
      <c r="D3701" t="inlineStr">
        <is>
          <t>VÄSTRA GÖTALANDS LÄN</t>
        </is>
      </c>
      <c r="E3701" t="inlineStr">
        <is>
          <t>VARA</t>
        </is>
      </c>
      <c r="G3701" t="n">
        <v>9.300000000000001</v>
      </c>
      <c r="H3701" t="n">
        <v>0</v>
      </c>
      <c r="I3701" t="n">
        <v>0</v>
      </c>
      <c r="J3701" t="n">
        <v>0</v>
      </c>
      <c r="K3701" t="n">
        <v>0</v>
      </c>
      <c r="L3701" t="n">
        <v>0</v>
      </c>
      <c r="M3701" t="n">
        <v>0</v>
      </c>
      <c r="N3701" t="n">
        <v>0</v>
      </c>
      <c r="O3701" t="n">
        <v>0</v>
      </c>
      <c r="P3701" t="n">
        <v>0</v>
      </c>
      <c r="Q3701" t="n">
        <v>0</v>
      </c>
      <c r="R3701" s="2" t="inlineStr"/>
    </row>
    <row r="3702" ht="15" customHeight="1">
      <c r="A3702" t="inlineStr">
        <is>
          <t>A 63868-2019</t>
        </is>
      </c>
      <c r="B3702" s="1" t="n">
        <v>43796</v>
      </c>
      <c r="C3702" s="1" t="n">
        <v>45227</v>
      </c>
      <c r="D3702" t="inlineStr">
        <is>
          <t>VÄSTRA GÖTALANDS LÄN</t>
        </is>
      </c>
      <c r="E3702" t="inlineStr">
        <is>
          <t>LIDKÖPING</t>
        </is>
      </c>
      <c r="G3702" t="n">
        <v>6.9</v>
      </c>
      <c r="H3702" t="n">
        <v>0</v>
      </c>
      <c r="I3702" t="n">
        <v>0</v>
      </c>
      <c r="J3702" t="n">
        <v>0</v>
      </c>
      <c r="K3702" t="n">
        <v>0</v>
      </c>
      <c r="L3702" t="n">
        <v>0</v>
      </c>
      <c r="M3702" t="n">
        <v>0</v>
      </c>
      <c r="N3702" t="n">
        <v>0</v>
      </c>
      <c r="O3702" t="n">
        <v>0</v>
      </c>
      <c r="P3702" t="n">
        <v>0</v>
      </c>
      <c r="Q3702" t="n">
        <v>0</v>
      </c>
      <c r="R3702" s="2" t="inlineStr"/>
    </row>
    <row r="3703" ht="15" customHeight="1">
      <c r="A3703" t="inlineStr">
        <is>
          <t>A 63889-2019</t>
        </is>
      </c>
      <c r="B3703" s="1" t="n">
        <v>43796</v>
      </c>
      <c r="C3703" s="1" t="n">
        <v>45227</v>
      </c>
      <c r="D3703" t="inlineStr">
        <is>
          <t>VÄSTRA GÖTALANDS LÄN</t>
        </is>
      </c>
      <c r="E3703" t="inlineStr">
        <is>
          <t>VARA</t>
        </is>
      </c>
      <c r="G3703" t="n">
        <v>3.6</v>
      </c>
      <c r="H3703" t="n">
        <v>0</v>
      </c>
      <c r="I3703" t="n">
        <v>0</v>
      </c>
      <c r="J3703" t="n">
        <v>0</v>
      </c>
      <c r="K3703" t="n">
        <v>0</v>
      </c>
      <c r="L3703" t="n">
        <v>0</v>
      </c>
      <c r="M3703" t="n">
        <v>0</v>
      </c>
      <c r="N3703" t="n">
        <v>0</v>
      </c>
      <c r="O3703" t="n">
        <v>0</v>
      </c>
      <c r="P3703" t="n">
        <v>0</v>
      </c>
      <c r="Q3703" t="n">
        <v>0</v>
      </c>
      <c r="R3703" s="2" t="inlineStr"/>
    </row>
    <row r="3704" ht="15" customHeight="1">
      <c r="A3704" t="inlineStr">
        <is>
          <t>A 63964-2019</t>
        </is>
      </c>
      <c r="B3704" s="1" t="n">
        <v>43796</v>
      </c>
      <c r="C3704" s="1" t="n">
        <v>45227</v>
      </c>
      <c r="D3704" t="inlineStr">
        <is>
          <t>VÄSTRA GÖTALANDS LÄN</t>
        </is>
      </c>
      <c r="E3704" t="inlineStr">
        <is>
          <t>FÄRGELANDA</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64012-2019</t>
        </is>
      </c>
      <c r="B3705" s="1" t="n">
        <v>43796</v>
      </c>
      <c r="C3705" s="1" t="n">
        <v>45227</v>
      </c>
      <c r="D3705" t="inlineStr">
        <is>
          <t>VÄSTRA GÖTALANDS LÄN</t>
        </is>
      </c>
      <c r="E3705" t="inlineStr">
        <is>
          <t>ULRICEHAMN</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64087-2019</t>
        </is>
      </c>
      <c r="B3706" s="1" t="n">
        <v>43796</v>
      </c>
      <c r="C3706" s="1" t="n">
        <v>45227</v>
      </c>
      <c r="D3706" t="inlineStr">
        <is>
          <t>VÄSTRA GÖTALANDS LÄN</t>
        </is>
      </c>
      <c r="E3706" t="inlineStr">
        <is>
          <t>GÖTENE</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64196-2019</t>
        </is>
      </c>
      <c r="B3707" s="1" t="n">
        <v>43797</v>
      </c>
      <c r="C3707" s="1" t="n">
        <v>45227</v>
      </c>
      <c r="D3707" t="inlineStr">
        <is>
          <t>VÄSTRA GÖTALANDS LÄN</t>
        </is>
      </c>
      <c r="E3707" t="inlineStr">
        <is>
          <t>MARK</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64228-2019</t>
        </is>
      </c>
      <c r="B3708" s="1" t="n">
        <v>43797</v>
      </c>
      <c r="C3708" s="1" t="n">
        <v>45227</v>
      </c>
      <c r="D3708" t="inlineStr">
        <is>
          <t>VÄSTRA GÖTALANDS LÄN</t>
        </is>
      </c>
      <c r="E3708" t="inlineStr">
        <is>
          <t>BENGTSFORS</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64279-2019</t>
        </is>
      </c>
      <c r="B3709" s="1" t="n">
        <v>43797</v>
      </c>
      <c r="C3709" s="1" t="n">
        <v>45227</v>
      </c>
      <c r="D3709" t="inlineStr">
        <is>
          <t>VÄSTRA GÖTALANDS LÄN</t>
        </is>
      </c>
      <c r="E3709" t="inlineStr">
        <is>
          <t>BENGTSFORS</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64274-2019</t>
        </is>
      </c>
      <c r="B3710" s="1" t="n">
        <v>43797</v>
      </c>
      <c r="C3710" s="1" t="n">
        <v>45227</v>
      </c>
      <c r="D3710" t="inlineStr">
        <is>
          <t>VÄSTRA GÖTALANDS LÄN</t>
        </is>
      </c>
      <c r="E3710" t="inlineStr">
        <is>
          <t>BENGTSFORS</t>
        </is>
      </c>
      <c r="G3710" t="n">
        <v>30.5</v>
      </c>
      <c r="H3710" t="n">
        <v>0</v>
      </c>
      <c r="I3710" t="n">
        <v>0</v>
      </c>
      <c r="J3710" t="n">
        <v>0</v>
      </c>
      <c r="K3710" t="n">
        <v>0</v>
      </c>
      <c r="L3710" t="n">
        <v>0</v>
      </c>
      <c r="M3710" t="n">
        <v>0</v>
      </c>
      <c r="N3710" t="n">
        <v>0</v>
      </c>
      <c r="O3710" t="n">
        <v>0</v>
      </c>
      <c r="P3710" t="n">
        <v>0</v>
      </c>
      <c r="Q3710" t="n">
        <v>0</v>
      </c>
      <c r="R3710" s="2" t="inlineStr"/>
    </row>
    <row r="3711" ht="15" customHeight="1">
      <c r="A3711" t="inlineStr">
        <is>
          <t>A 64338-2019</t>
        </is>
      </c>
      <c r="B3711" s="1" t="n">
        <v>43797</v>
      </c>
      <c r="C3711" s="1" t="n">
        <v>45227</v>
      </c>
      <c r="D3711" t="inlineStr">
        <is>
          <t>VÄSTRA GÖTALANDS LÄN</t>
        </is>
      </c>
      <c r="E3711" t="inlineStr">
        <is>
          <t>STRÖMSTAD</t>
        </is>
      </c>
      <c r="F3711" t="inlineStr">
        <is>
          <t>Kommuner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64369-2019</t>
        </is>
      </c>
      <c r="B3712" s="1" t="n">
        <v>43797</v>
      </c>
      <c r="C3712" s="1" t="n">
        <v>45227</v>
      </c>
      <c r="D3712" t="inlineStr">
        <is>
          <t>VÄSTRA GÖTALANDS LÄN</t>
        </is>
      </c>
      <c r="E3712" t="inlineStr">
        <is>
          <t>BORÅS</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64383-2019</t>
        </is>
      </c>
      <c r="B3713" s="1" t="n">
        <v>43797</v>
      </c>
      <c r="C3713" s="1" t="n">
        <v>45227</v>
      </c>
      <c r="D3713" t="inlineStr">
        <is>
          <t>VÄSTRA GÖTALANDS LÄN</t>
        </is>
      </c>
      <c r="E3713" t="inlineStr">
        <is>
          <t>STENUNGSUND</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64198-2019</t>
        </is>
      </c>
      <c r="B3714" s="1" t="n">
        <v>43797</v>
      </c>
      <c r="C3714" s="1" t="n">
        <v>45227</v>
      </c>
      <c r="D3714" t="inlineStr">
        <is>
          <t>VÄSTRA GÖTALANDS LÄN</t>
        </is>
      </c>
      <c r="E3714" t="inlineStr">
        <is>
          <t>MARK</t>
        </is>
      </c>
      <c r="G3714" t="n">
        <v>4.6</v>
      </c>
      <c r="H3714" t="n">
        <v>0</v>
      </c>
      <c r="I3714" t="n">
        <v>0</v>
      </c>
      <c r="J3714" t="n">
        <v>0</v>
      </c>
      <c r="K3714" t="n">
        <v>0</v>
      </c>
      <c r="L3714" t="n">
        <v>0</v>
      </c>
      <c r="M3714" t="n">
        <v>0</v>
      </c>
      <c r="N3714" t="n">
        <v>0</v>
      </c>
      <c r="O3714" t="n">
        <v>0</v>
      </c>
      <c r="P3714" t="n">
        <v>0</v>
      </c>
      <c r="Q3714" t="n">
        <v>0</v>
      </c>
      <c r="R3714" s="2" t="inlineStr"/>
    </row>
    <row r="3715" ht="15" customHeight="1">
      <c r="A3715" t="inlineStr">
        <is>
          <t>A 64220-2019</t>
        </is>
      </c>
      <c r="B3715" s="1" t="n">
        <v>43797</v>
      </c>
      <c r="C3715" s="1" t="n">
        <v>45227</v>
      </c>
      <c r="D3715" t="inlineStr">
        <is>
          <t>VÄSTRA GÖTALANDS LÄN</t>
        </is>
      </c>
      <c r="E3715" t="inlineStr">
        <is>
          <t>BENGTSFORS</t>
        </is>
      </c>
      <c r="G3715" t="n">
        <v>8.6</v>
      </c>
      <c r="H3715" t="n">
        <v>0</v>
      </c>
      <c r="I3715" t="n">
        <v>0</v>
      </c>
      <c r="J3715" t="n">
        <v>0</v>
      </c>
      <c r="K3715" t="n">
        <v>0</v>
      </c>
      <c r="L3715" t="n">
        <v>0</v>
      </c>
      <c r="M3715" t="n">
        <v>0</v>
      </c>
      <c r="N3715" t="n">
        <v>0</v>
      </c>
      <c r="O3715" t="n">
        <v>0</v>
      </c>
      <c r="P3715" t="n">
        <v>0</v>
      </c>
      <c r="Q3715" t="n">
        <v>0</v>
      </c>
      <c r="R3715" s="2" t="inlineStr"/>
    </row>
    <row r="3716" ht="15" customHeight="1">
      <c r="A3716" t="inlineStr">
        <is>
          <t>A 64230-2019</t>
        </is>
      </c>
      <c r="B3716" s="1" t="n">
        <v>43797</v>
      </c>
      <c r="C3716" s="1" t="n">
        <v>45227</v>
      </c>
      <c r="D3716" t="inlineStr">
        <is>
          <t>VÄSTRA GÖTALANDS LÄN</t>
        </is>
      </c>
      <c r="E3716" t="inlineStr">
        <is>
          <t>BENGTSFORS</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64381-2019</t>
        </is>
      </c>
      <c r="B3717" s="1" t="n">
        <v>43797</v>
      </c>
      <c r="C3717" s="1" t="n">
        <v>45227</v>
      </c>
      <c r="D3717" t="inlineStr">
        <is>
          <t>VÄSTRA GÖTALANDS LÄN</t>
        </is>
      </c>
      <c r="E3717" t="inlineStr">
        <is>
          <t>TROLLHÄTTAN</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64561-2019</t>
        </is>
      </c>
      <c r="B3718" s="1" t="n">
        <v>43798</v>
      </c>
      <c r="C3718" s="1" t="n">
        <v>45227</v>
      </c>
      <c r="D3718" t="inlineStr">
        <is>
          <t>VÄSTRA GÖTALANDS LÄN</t>
        </is>
      </c>
      <c r="E3718" t="inlineStr">
        <is>
          <t>BORÅS</t>
        </is>
      </c>
      <c r="G3718" t="n">
        <v>7.4</v>
      </c>
      <c r="H3718" t="n">
        <v>0</v>
      </c>
      <c r="I3718" t="n">
        <v>0</v>
      </c>
      <c r="J3718" t="n">
        <v>0</v>
      </c>
      <c r="K3718" t="n">
        <v>0</v>
      </c>
      <c r="L3718" t="n">
        <v>0</v>
      </c>
      <c r="M3718" t="n">
        <v>0</v>
      </c>
      <c r="N3718" t="n">
        <v>0</v>
      </c>
      <c r="O3718" t="n">
        <v>0</v>
      </c>
      <c r="P3718" t="n">
        <v>0</v>
      </c>
      <c r="Q3718" t="n">
        <v>0</v>
      </c>
      <c r="R3718" s="2" t="inlineStr"/>
    </row>
    <row r="3719" ht="15" customHeight="1">
      <c r="A3719" t="inlineStr">
        <is>
          <t>A 64663-2019</t>
        </is>
      </c>
      <c r="B3719" s="1" t="n">
        <v>43798</v>
      </c>
      <c r="C3719" s="1" t="n">
        <v>45227</v>
      </c>
      <c r="D3719" t="inlineStr">
        <is>
          <t>VÄSTRA GÖTALANDS LÄN</t>
        </is>
      </c>
      <c r="E3719" t="inlineStr">
        <is>
          <t>SVENLJUNGA</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65990-2019</t>
        </is>
      </c>
      <c r="B3720" s="1" t="n">
        <v>43798</v>
      </c>
      <c r="C3720" s="1" t="n">
        <v>45227</v>
      </c>
      <c r="D3720" t="inlineStr">
        <is>
          <t>VÄSTRA GÖTALANDS LÄN</t>
        </is>
      </c>
      <c r="E3720" t="inlineStr">
        <is>
          <t>VARA</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64652-2019</t>
        </is>
      </c>
      <c r="B3721" s="1" t="n">
        <v>43798</v>
      </c>
      <c r="C3721" s="1" t="n">
        <v>45227</v>
      </c>
      <c r="D3721" t="inlineStr">
        <is>
          <t>VÄSTRA GÖTALANDS LÄN</t>
        </is>
      </c>
      <c r="E3721" t="inlineStr">
        <is>
          <t>SVENLJUNGA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65959-2019</t>
        </is>
      </c>
      <c r="B3722" s="1" t="n">
        <v>43798</v>
      </c>
      <c r="C3722" s="1" t="n">
        <v>45227</v>
      </c>
      <c r="D3722" t="inlineStr">
        <is>
          <t>VÄSTRA GÖTALANDS LÄN</t>
        </is>
      </c>
      <c r="E3722" t="inlineStr">
        <is>
          <t>FALKÖPING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66018-2019</t>
        </is>
      </c>
      <c r="B3723" s="1" t="n">
        <v>43798</v>
      </c>
      <c r="C3723" s="1" t="n">
        <v>45227</v>
      </c>
      <c r="D3723" t="inlineStr">
        <is>
          <t>VÄSTRA GÖTALANDS LÄN</t>
        </is>
      </c>
      <c r="E3723" t="inlineStr">
        <is>
          <t>HERRLJUNGA</t>
        </is>
      </c>
      <c r="G3723" t="n">
        <v>22</v>
      </c>
      <c r="H3723" t="n">
        <v>0</v>
      </c>
      <c r="I3723" t="n">
        <v>0</v>
      </c>
      <c r="J3723" t="n">
        <v>0</v>
      </c>
      <c r="K3723" t="n">
        <v>0</v>
      </c>
      <c r="L3723" t="n">
        <v>0</v>
      </c>
      <c r="M3723" t="n">
        <v>0</v>
      </c>
      <c r="N3723" t="n">
        <v>0</v>
      </c>
      <c r="O3723" t="n">
        <v>0</v>
      </c>
      <c r="P3723" t="n">
        <v>0</v>
      </c>
      <c r="Q3723" t="n">
        <v>0</v>
      </c>
      <c r="R3723" s="2" t="inlineStr"/>
    </row>
    <row r="3724" ht="15" customHeight="1">
      <c r="A3724" t="inlineStr">
        <is>
          <t>A 64556-2019</t>
        </is>
      </c>
      <c r="B3724" s="1" t="n">
        <v>43798</v>
      </c>
      <c r="C3724" s="1" t="n">
        <v>45227</v>
      </c>
      <c r="D3724" t="inlineStr">
        <is>
          <t>VÄSTRA GÖTALANDS LÄN</t>
        </is>
      </c>
      <c r="E3724" t="inlineStr">
        <is>
          <t>MARK</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65964-2019</t>
        </is>
      </c>
      <c r="B3725" s="1" t="n">
        <v>43798</v>
      </c>
      <c r="C3725" s="1" t="n">
        <v>45227</v>
      </c>
      <c r="D3725" t="inlineStr">
        <is>
          <t>VÄSTRA GÖTALANDS LÄN</t>
        </is>
      </c>
      <c r="E3725" t="inlineStr">
        <is>
          <t>FALKÖPING</t>
        </is>
      </c>
      <c r="G3725" t="n">
        <v>1.9</v>
      </c>
      <c r="H3725" t="n">
        <v>0</v>
      </c>
      <c r="I3725" t="n">
        <v>0</v>
      </c>
      <c r="J3725" t="n">
        <v>0</v>
      </c>
      <c r="K3725" t="n">
        <v>0</v>
      </c>
      <c r="L3725" t="n">
        <v>0</v>
      </c>
      <c r="M3725" t="n">
        <v>0</v>
      </c>
      <c r="N3725" t="n">
        <v>0</v>
      </c>
      <c r="O3725" t="n">
        <v>0</v>
      </c>
      <c r="P3725" t="n">
        <v>0</v>
      </c>
      <c r="Q3725" t="n">
        <v>0</v>
      </c>
      <c r="R3725" s="2" t="inlineStr"/>
    </row>
    <row r="3726" ht="15" customHeight="1">
      <c r="A3726" t="inlineStr">
        <is>
          <t>A 64601-2019</t>
        </is>
      </c>
      <c r="B3726" s="1" t="n">
        <v>43798</v>
      </c>
      <c r="C3726" s="1" t="n">
        <v>45227</v>
      </c>
      <c r="D3726" t="inlineStr">
        <is>
          <t>VÄSTRA GÖTALANDS LÄN</t>
        </is>
      </c>
      <c r="E3726" t="inlineStr">
        <is>
          <t>TRANEMO</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64681-2019</t>
        </is>
      </c>
      <c r="B3727" s="1" t="n">
        <v>43798</v>
      </c>
      <c r="C3727" s="1" t="n">
        <v>45227</v>
      </c>
      <c r="D3727" t="inlineStr">
        <is>
          <t>VÄSTRA GÖTALANDS LÄN</t>
        </is>
      </c>
      <c r="E3727" t="inlineStr">
        <is>
          <t>SVENLJUNGA</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65898-2019</t>
        </is>
      </c>
      <c r="B3728" s="1" t="n">
        <v>43798</v>
      </c>
      <c r="C3728" s="1" t="n">
        <v>45227</v>
      </c>
      <c r="D3728" t="inlineStr">
        <is>
          <t>VÄSTRA GÖTALANDS LÄN</t>
        </is>
      </c>
      <c r="E3728" t="inlineStr">
        <is>
          <t>VARA</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65974-2019</t>
        </is>
      </c>
      <c r="B3729" s="1" t="n">
        <v>43798</v>
      </c>
      <c r="C3729" s="1" t="n">
        <v>45227</v>
      </c>
      <c r="D3729" t="inlineStr">
        <is>
          <t>VÄSTRA GÖTALANDS LÄN</t>
        </is>
      </c>
      <c r="E3729" t="inlineStr">
        <is>
          <t>ULRICEHAMN</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64721-2019</t>
        </is>
      </c>
      <c r="B3730" s="1" t="n">
        <v>43800</v>
      </c>
      <c r="C3730" s="1" t="n">
        <v>45227</v>
      </c>
      <c r="D3730" t="inlineStr">
        <is>
          <t>VÄSTRA GÖTALANDS LÄN</t>
        </is>
      </c>
      <c r="E3730" t="inlineStr">
        <is>
          <t>HÄRRYDA</t>
        </is>
      </c>
      <c r="G3730" t="n">
        <v>0.9</v>
      </c>
      <c r="H3730" t="n">
        <v>0</v>
      </c>
      <c r="I3730" t="n">
        <v>0</v>
      </c>
      <c r="J3730" t="n">
        <v>0</v>
      </c>
      <c r="K3730" t="n">
        <v>0</v>
      </c>
      <c r="L3730" t="n">
        <v>0</v>
      </c>
      <c r="M3730" t="n">
        <v>0</v>
      </c>
      <c r="N3730" t="n">
        <v>0</v>
      </c>
      <c r="O3730" t="n">
        <v>0</v>
      </c>
      <c r="P3730" t="n">
        <v>0</v>
      </c>
      <c r="Q3730" t="n">
        <v>0</v>
      </c>
      <c r="R3730" s="2" t="inlineStr"/>
    </row>
    <row r="3731" ht="15" customHeight="1">
      <c r="A3731" t="inlineStr">
        <is>
          <t>A 64725-2019</t>
        </is>
      </c>
      <c r="B3731" s="1" t="n">
        <v>43800</v>
      </c>
      <c r="C3731" s="1" t="n">
        <v>45227</v>
      </c>
      <c r="D3731" t="inlineStr">
        <is>
          <t>VÄSTRA GÖTALANDS LÄN</t>
        </is>
      </c>
      <c r="E3731" t="inlineStr">
        <is>
          <t>ULRICEHAMN</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64730-2019</t>
        </is>
      </c>
      <c r="B3732" s="1" t="n">
        <v>43800</v>
      </c>
      <c r="C3732" s="1" t="n">
        <v>45227</v>
      </c>
      <c r="D3732" t="inlineStr">
        <is>
          <t>VÄSTRA GÖTALANDS LÄN</t>
        </is>
      </c>
      <c r="E3732" t="inlineStr">
        <is>
          <t>MARK</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64724-2019</t>
        </is>
      </c>
      <c r="B3733" s="1" t="n">
        <v>43800</v>
      </c>
      <c r="C3733" s="1" t="n">
        <v>45227</v>
      </c>
      <c r="D3733" t="inlineStr">
        <is>
          <t>VÄSTRA GÖTALANDS LÄN</t>
        </is>
      </c>
      <c r="E3733" t="inlineStr">
        <is>
          <t>HÄRRYDA</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64729-2019</t>
        </is>
      </c>
      <c r="B3734" s="1" t="n">
        <v>43800</v>
      </c>
      <c r="C3734" s="1" t="n">
        <v>45227</v>
      </c>
      <c r="D3734" t="inlineStr">
        <is>
          <t>VÄSTRA GÖTALANDS LÄN</t>
        </is>
      </c>
      <c r="E3734" t="inlineStr">
        <is>
          <t>TRANEMO</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64722-2019</t>
        </is>
      </c>
      <c r="B3735" s="1" t="n">
        <v>43800</v>
      </c>
      <c r="C3735" s="1" t="n">
        <v>45227</v>
      </c>
      <c r="D3735" t="inlineStr">
        <is>
          <t>VÄSTRA GÖTALANDS LÄN</t>
        </is>
      </c>
      <c r="E3735" t="inlineStr">
        <is>
          <t>HÄRRYDA</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64794-2019</t>
        </is>
      </c>
      <c r="B3736" s="1" t="n">
        <v>43801</v>
      </c>
      <c r="C3736" s="1" t="n">
        <v>45227</v>
      </c>
      <c r="D3736" t="inlineStr">
        <is>
          <t>VÄSTRA GÖTALANDS LÄN</t>
        </is>
      </c>
      <c r="E3736" t="inlineStr">
        <is>
          <t>HERRLJUNGA</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64907-2019</t>
        </is>
      </c>
      <c r="B3737" s="1" t="n">
        <v>43801</v>
      </c>
      <c r="C3737" s="1" t="n">
        <v>45227</v>
      </c>
      <c r="D3737" t="inlineStr">
        <is>
          <t>VÄSTRA GÖTALANDS LÄN</t>
        </is>
      </c>
      <c r="E3737" t="inlineStr">
        <is>
          <t>VARA</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64871-2019</t>
        </is>
      </c>
      <c r="B3738" s="1" t="n">
        <v>43801</v>
      </c>
      <c r="C3738" s="1" t="n">
        <v>45227</v>
      </c>
      <c r="D3738" t="inlineStr">
        <is>
          <t>VÄSTRA GÖTALANDS LÄN</t>
        </is>
      </c>
      <c r="E3738" t="inlineStr">
        <is>
          <t>VARA</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64999-2019</t>
        </is>
      </c>
      <c r="B3739" s="1" t="n">
        <v>43801</v>
      </c>
      <c r="C3739" s="1" t="n">
        <v>45227</v>
      </c>
      <c r="D3739" t="inlineStr">
        <is>
          <t>VÄSTRA GÖTALANDS LÄN</t>
        </is>
      </c>
      <c r="E3739" t="inlineStr">
        <is>
          <t>MARK</t>
        </is>
      </c>
      <c r="G3739" t="n">
        <v>0.3</v>
      </c>
      <c r="H3739" t="n">
        <v>0</v>
      </c>
      <c r="I3739" t="n">
        <v>0</v>
      </c>
      <c r="J3739" t="n">
        <v>0</v>
      </c>
      <c r="K3739" t="n">
        <v>0</v>
      </c>
      <c r="L3739" t="n">
        <v>0</v>
      </c>
      <c r="M3739" t="n">
        <v>0</v>
      </c>
      <c r="N3739" t="n">
        <v>0</v>
      </c>
      <c r="O3739" t="n">
        <v>0</v>
      </c>
      <c r="P3739" t="n">
        <v>0</v>
      </c>
      <c r="Q3739" t="n">
        <v>0</v>
      </c>
      <c r="R3739" s="2" t="inlineStr"/>
    </row>
    <row r="3740" ht="15" customHeight="1">
      <c r="A3740" t="inlineStr">
        <is>
          <t>A 64939-2019</t>
        </is>
      </c>
      <c r="B3740" s="1" t="n">
        <v>43801</v>
      </c>
      <c r="C3740" s="1" t="n">
        <v>45227</v>
      </c>
      <c r="D3740" t="inlineStr">
        <is>
          <t>VÄSTRA GÖTALANDS LÄN</t>
        </is>
      </c>
      <c r="E3740" t="inlineStr">
        <is>
          <t>VÅRGÅRDA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65017-2019</t>
        </is>
      </c>
      <c r="B3741" s="1" t="n">
        <v>43801</v>
      </c>
      <c r="C3741" s="1" t="n">
        <v>45227</v>
      </c>
      <c r="D3741" t="inlineStr">
        <is>
          <t>VÄSTRA GÖTALANDS LÄN</t>
        </is>
      </c>
      <c r="E3741" t="inlineStr">
        <is>
          <t>BORÅS</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65022-2019</t>
        </is>
      </c>
      <c r="B3742" s="1" t="n">
        <v>43801</v>
      </c>
      <c r="C3742" s="1" t="n">
        <v>45227</v>
      </c>
      <c r="D3742" t="inlineStr">
        <is>
          <t>VÄSTRA GÖTALANDS LÄN</t>
        </is>
      </c>
      <c r="E3742" t="inlineStr">
        <is>
          <t>LIDKÖPING</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65930-2019</t>
        </is>
      </c>
      <c r="B3743" s="1" t="n">
        <v>43801</v>
      </c>
      <c r="C3743" s="1" t="n">
        <v>45227</v>
      </c>
      <c r="D3743" t="inlineStr">
        <is>
          <t>VÄSTRA GÖTALANDS LÄN</t>
        </is>
      </c>
      <c r="E3743" t="inlineStr">
        <is>
          <t>BENGTSFORS</t>
        </is>
      </c>
      <c r="F3743" t="inlineStr">
        <is>
          <t>Kyrkan</t>
        </is>
      </c>
      <c r="G3743" t="n">
        <v>5.5</v>
      </c>
      <c r="H3743" t="n">
        <v>0</v>
      </c>
      <c r="I3743" t="n">
        <v>0</v>
      </c>
      <c r="J3743" t="n">
        <v>0</v>
      </c>
      <c r="K3743" t="n">
        <v>0</v>
      </c>
      <c r="L3743" t="n">
        <v>0</v>
      </c>
      <c r="M3743" t="n">
        <v>0</v>
      </c>
      <c r="N3743" t="n">
        <v>0</v>
      </c>
      <c r="O3743" t="n">
        <v>0</v>
      </c>
      <c r="P3743" t="n">
        <v>0</v>
      </c>
      <c r="Q3743" t="n">
        <v>0</v>
      </c>
      <c r="R3743" s="2" t="inlineStr"/>
    </row>
    <row r="3744" ht="15" customHeight="1">
      <c r="A3744" t="inlineStr">
        <is>
          <t>A 65268-2019</t>
        </is>
      </c>
      <c r="B3744" s="1" t="n">
        <v>43802</v>
      </c>
      <c r="C3744" s="1" t="n">
        <v>45227</v>
      </c>
      <c r="D3744" t="inlineStr">
        <is>
          <t>VÄSTRA GÖTALANDS LÄN</t>
        </is>
      </c>
      <c r="E3744" t="inlineStr">
        <is>
          <t>HÄRRYDA</t>
        </is>
      </c>
      <c r="G3744" t="n">
        <v>7.8</v>
      </c>
      <c r="H3744" t="n">
        <v>0</v>
      </c>
      <c r="I3744" t="n">
        <v>0</v>
      </c>
      <c r="J3744" t="n">
        <v>0</v>
      </c>
      <c r="K3744" t="n">
        <v>0</v>
      </c>
      <c r="L3744" t="n">
        <v>0</v>
      </c>
      <c r="M3744" t="n">
        <v>0</v>
      </c>
      <c r="N3744" t="n">
        <v>0</v>
      </c>
      <c r="O3744" t="n">
        <v>0</v>
      </c>
      <c r="P3744" t="n">
        <v>0</v>
      </c>
      <c r="Q3744" t="n">
        <v>0</v>
      </c>
      <c r="R3744" s="2" t="inlineStr"/>
    </row>
    <row r="3745" ht="15" customHeight="1">
      <c r="A3745" t="inlineStr">
        <is>
          <t>A 65209-2019</t>
        </is>
      </c>
      <c r="B3745" s="1" t="n">
        <v>43802</v>
      </c>
      <c r="C3745" s="1" t="n">
        <v>45227</v>
      </c>
      <c r="D3745" t="inlineStr">
        <is>
          <t>VÄSTRA GÖTALANDS LÄN</t>
        </is>
      </c>
      <c r="E3745" t="inlineStr">
        <is>
          <t>ALINGSÅS</t>
        </is>
      </c>
      <c r="G3745" t="n">
        <v>0.4</v>
      </c>
      <c r="H3745" t="n">
        <v>0</v>
      </c>
      <c r="I3745" t="n">
        <v>0</v>
      </c>
      <c r="J3745" t="n">
        <v>0</v>
      </c>
      <c r="K3745" t="n">
        <v>0</v>
      </c>
      <c r="L3745" t="n">
        <v>0</v>
      </c>
      <c r="M3745" t="n">
        <v>0</v>
      </c>
      <c r="N3745" t="n">
        <v>0</v>
      </c>
      <c r="O3745" t="n">
        <v>0</v>
      </c>
      <c r="P3745" t="n">
        <v>0</v>
      </c>
      <c r="Q3745" t="n">
        <v>0</v>
      </c>
      <c r="R3745" s="2" t="inlineStr"/>
    </row>
    <row r="3746" ht="15" customHeight="1">
      <c r="A3746" t="inlineStr">
        <is>
          <t>A 66343-2019</t>
        </is>
      </c>
      <c r="B3746" s="1" t="n">
        <v>43802</v>
      </c>
      <c r="C3746" s="1" t="n">
        <v>45227</v>
      </c>
      <c r="D3746" t="inlineStr">
        <is>
          <t>VÄSTRA GÖTALANDS LÄN</t>
        </is>
      </c>
      <c r="E3746" t="inlineStr">
        <is>
          <t>TIDAHOLM</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65115-2019</t>
        </is>
      </c>
      <c r="B3747" s="1" t="n">
        <v>43802</v>
      </c>
      <c r="C3747" s="1" t="n">
        <v>45227</v>
      </c>
      <c r="D3747" t="inlineStr">
        <is>
          <t>VÄSTRA GÖTALANDS LÄN</t>
        </is>
      </c>
      <c r="E3747" t="inlineStr">
        <is>
          <t>MARIESTAD</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65186-2019</t>
        </is>
      </c>
      <c r="B3748" s="1" t="n">
        <v>43802</v>
      </c>
      <c r="C3748" s="1" t="n">
        <v>45227</v>
      </c>
      <c r="D3748" t="inlineStr">
        <is>
          <t>VÄSTRA GÖTALANDS LÄN</t>
        </is>
      </c>
      <c r="E3748" t="inlineStr">
        <is>
          <t>HÄRRYDA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66345-2019</t>
        </is>
      </c>
      <c r="B3749" s="1" t="n">
        <v>43802</v>
      </c>
      <c r="C3749" s="1" t="n">
        <v>45227</v>
      </c>
      <c r="D3749" t="inlineStr">
        <is>
          <t>VÄSTRA GÖTALANDS LÄN</t>
        </is>
      </c>
      <c r="E3749" t="inlineStr">
        <is>
          <t>TIDAHOLM</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65361-2019</t>
        </is>
      </c>
      <c r="B3750" s="1" t="n">
        <v>43803</v>
      </c>
      <c r="C3750" s="1" t="n">
        <v>45227</v>
      </c>
      <c r="D3750" t="inlineStr">
        <is>
          <t>VÄSTRA GÖTALANDS LÄN</t>
        </is>
      </c>
      <c r="E3750" t="inlineStr">
        <is>
          <t>BENGTSFORS</t>
        </is>
      </c>
      <c r="G3750" t="n">
        <v>7</v>
      </c>
      <c r="H3750" t="n">
        <v>0</v>
      </c>
      <c r="I3750" t="n">
        <v>0</v>
      </c>
      <c r="J3750" t="n">
        <v>0</v>
      </c>
      <c r="K3750" t="n">
        <v>0</v>
      </c>
      <c r="L3750" t="n">
        <v>0</v>
      </c>
      <c r="M3750" t="n">
        <v>0</v>
      </c>
      <c r="N3750" t="n">
        <v>0</v>
      </c>
      <c r="O3750" t="n">
        <v>0</v>
      </c>
      <c r="P3750" t="n">
        <v>0</v>
      </c>
      <c r="Q3750" t="n">
        <v>0</v>
      </c>
      <c r="R3750" s="2" t="inlineStr"/>
    </row>
    <row r="3751" ht="15" customHeight="1">
      <c r="A3751" t="inlineStr">
        <is>
          <t>A 65543-2019</t>
        </is>
      </c>
      <c r="B3751" s="1" t="n">
        <v>43803</v>
      </c>
      <c r="C3751" s="1" t="n">
        <v>45227</v>
      </c>
      <c r="D3751" t="inlineStr">
        <is>
          <t>VÄSTRA GÖTALANDS LÄN</t>
        </is>
      </c>
      <c r="E3751" t="inlineStr">
        <is>
          <t>GRÄSTORP</t>
        </is>
      </c>
      <c r="G3751" t="n">
        <v>3.4</v>
      </c>
      <c r="H3751" t="n">
        <v>0</v>
      </c>
      <c r="I3751" t="n">
        <v>0</v>
      </c>
      <c r="J3751" t="n">
        <v>0</v>
      </c>
      <c r="K3751" t="n">
        <v>0</v>
      </c>
      <c r="L3751" t="n">
        <v>0</v>
      </c>
      <c r="M3751" t="n">
        <v>0</v>
      </c>
      <c r="N3751" t="n">
        <v>0</v>
      </c>
      <c r="O3751" t="n">
        <v>0</v>
      </c>
      <c r="P3751" t="n">
        <v>0</v>
      </c>
      <c r="Q3751" t="n">
        <v>0</v>
      </c>
      <c r="R3751" s="2" t="inlineStr"/>
    </row>
    <row r="3752" ht="15" customHeight="1">
      <c r="A3752" t="inlineStr">
        <is>
          <t>A 65453-2019</t>
        </is>
      </c>
      <c r="B3752" s="1" t="n">
        <v>43803</v>
      </c>
      <c r="C3752" s="1" t="n">
        <v>45227</v>
      </c>
      <c r="D3752" t="inlineStr">
        <is>
          <t>VÄSTRA GÖTALANDS LÄN</t>
        </is>
      </c>
      <c r="E3752" t="inlineStr">
        <is>
          <t>BENGTSFORS</t>
        </is>
      </c>
      <c r="G3752" t="n">
        <v>6.3</v>
      </c>
      <c r="H3752" t="n">
        <v>0</v>
      </c>
      <c r="I3752" t="n">
        <v>0</v>
      </c>
      <c r="J3752" t="n">
        <v>0</v>
      </c>
      <c r="K3752" t="n">
        <v>0</v>
      </c>
      <c r="L3752" t="n">
        <v>0</v>
      </c>
      <c r="M3752" t="n">
        <v>0</v>
      </c>
      <c r="N3752" t="n">
        <v>0</v>
      </c>
      <c r="O3752" t="n">
        <v>0</v>
      </c>
      <c r="P3752" t="n">
        <v>0</v>
      </c>
      <c r="Q3752" t="n">
        <v>0</v>
      </c>
      <c r="R3752" s="2" t="inlineStr"/>
    </row>
    <row r="3753" ht="15" customHeight="1">
      <c r="A3753" t="inlineStr">
        <is>
          <t>A 65524-2019</t>
        </is>
      </c>
      <c r="B3753" s="1" t="n">
        <v>43803</v>
      </c>
      <c r="C3753" s="1" t="n">
        <v>45227</v>
      </c>
      <c r="D3753" t="inlineStr">
        <is>
          <t>VÄSTRA GÖTALANDS LÄN</t>
        </is>
      </c>
      <c r="E3753" t="inlineStr">
        <is>
          <t>SVENLJUNGA</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65411-2019</t>
        </is>
      </c>
      <c r="B3754" s="1" t="n">
        <v>43803</v>
      </c>
      <c r="C3754" s="1" t="n">
        <v>45227</v>
      </c>
      <c r="D3754" t="inlineStr">
        <is>
          <t>VÄSTRA GÖTALANDS LÄN</t>
        </is>
      </c>
      <c r="E3754" t="inlineStr">
        <is>
          <t>HJO</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65437-2019</t>
        </is>
      </c>
      <c r="B3755" s="1" t="n">
        <v>43803</v>
      </c>
      <c r="C3755" s="1" t="n">
        <v>45227</v>
      </c>
      <c r="D3755" t="inlineStr">
        <is>
          <t>VÄSTRA GÖTALANDS LÄN</t>
        </is>
      </c>
      <c r="E3755" t="inlineStr">
        <is>
          <t>DALS-ED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65474-2019</t>
        </is>
      </c>
      <c r="B3756" s="1" t="n">
        <v>43803</v>
      </c>
      <c r="C3756" s="1" t="n">
        <v>45227</v>
      </c>
      <c r="D3756" t="inlineStr">
        <is>
          <t>VÄSTRA GÖTALANDS LÄN</t>
        </is>
      </c>
      <c r="E3756" t="inlineStr">
        <is>
          <t>FALKÖPING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65513-2019</t>
        </is>
      </c>
      <c r="B3757" s="1" t="n">
        <v>43803</v>
      </c>
      <c r="C3757" s="1" t="n">
        <v>45227</v>
      </c>
      <c r="D3757" t="inlineStr">
        <is>
          <t>VÄSTRA GÖTALANDS LÄN</t>
        </is>
      </c>
      <c r="E3757" t="inlineStr">
        <is>
          <t>GÖTENE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65525-2019</t>
        </is>
      </c>
      <c r="B3758" s="1" t="n">
        <v>43803</v>
      </c>
      <c r="C3758" s="1" t="n">
        <v>45227</v>
      </c>
      <c r="D3758" t="inlineStr">
        <is>
          <t>VÄSTRA GÖTALANDS LÄN</t>
        </is>
      </c>
      <c r="E3758" t="inlineStr">
        <is>
          <t>BENGTSFORS</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65472-2019</t>
        </is>
      </c>
      <c r="B3759" s="1" t="n">
        <v>43803</v>
      </c>
      <c r="C3759" s="1" t="n">
        <v>45227</v>
      </c>
      <c r="D3759" t="inlineStr">
        <is>
          <t>VÄSTRA GÖTALANDS LÄN</t>
        </is>
      </c>
      <c r="E3759" t="inlineStr">
        <is>
          <t>FALKÖPING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65519-2019</t>
        </is>
      </c>
      <c r="B3760" s="1" t="n">
        <v>43803</v>
      </c>
      <c r="C3760" s="1" t="n">
        <v>45227</v>
      </c>
      <c r="D3760" t="inlineStr">
        <is>
          <t>VÄSTRA GÖTALANDS LÄN</t>
        </is>
      </c>
      <c r="E3760" t="inlineStr">
        <is>
          <t>SVENLJUNGA</t>
        </is>
      </c>
      <c r="G3760" t="n">
        <v>8.4</v>
      </c>
      <c r="H3760" t="n">
        <v>0</v>
      </c>
      <c r="I3760" t="n">
        <v>0</v>
      </c>
      <c r="J3760" t="n">
        <v>0</v>
      </c>
      <c r="K3760" t="n">
        <v>0</v>
      </c>
      <c r="L3760" t="n">
        <v>0</v>
      </c>
      <c r="M3760" t="n">
        <v>0</v>
      </c>
      <c r="N3760" t="n">
        <v>0</v>
      </c>
      <c r="O3760" t="n">
        <v>0</v>
      </c>
      <c r="P3760" t="n">
        <v>0</v>
      </c>
      <c r="Q3760" t="n">
        <v>0</v>
      </c>
      <c r="R3760" s="2" t="inlineStr"/>
    </row>
    <row r="3761" ht="15" customHeight="1">
      <c r="A3761" t="inlineStr">
        <is>
          <t>A 66579-2019</t>
        </is>
      </c>
      <c r="B3761" s="1" t="n">
        <v>43803</v>
      </c>
      <c r="C3761" s="1" t="n">
        <v>45227</v>
      </c>
      <c r="D3761" t="inlineStr">
        <is>
          <t>VÄSTRA GÖTALANDS LÄN</t>
        </is>
      </c>
      <c r="E3761" t="inlineStr">
        <is>
          <t>GULLSPÅNG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65579-2019</t>
        </is>
      </c>
      <c r="B3762" s="1" t="n">
        <v>43804</v>
      </c>
      <c r="C3762" s="1" t="n">
        <v>45227</v>
      </c>
      <c r="D3762" t="inlineStr">
        <is>
          <t>VÄSTRA GÖTALANDS LÄN</t>
        </is>
      </c>
      <c r="E3762" t="inlineStr">
        <is>
          <t>ORUST</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65610-2019</t>
        </is>
      </c>
      <c r="B3763" s="1" t="n">
        <v>43804</v>
      </c>
      <c r="C3763" s="1" t="n">
        <v>45227</v>
      </c>
      <c r="D3763" t="inlineStr">
        <is>
          <t>VÄSTRA GÖTALANDS LÄN</t>
        </is>
      </c>
      <c r="E3763" t="inlineStr">
        <is>
          <t>KARLSBORG</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65617-2019</t>
        </is>
      </c>
      <c r="B3764" s="1" t="n">
        <v>43804</v>
      </c>
      <c r="C3764" s="1" t="n">
        <v>45227</v>
      </c>
      <c r="D3764" t="inlineStr">
        <is>
          <t>VÄSTRA GÖTALANDS LÄN</t>
        </is>
      </c>
      <c r="E3764" t="inlineStr">
        <is>
          <t>KARLSBORG</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65670-2019</t>
        </is>
      </c>
      <c r="B3765" s="1" t="n">
        <v>43804</v>
      </c>
      <c r="C3765" s="1" t="n">
        <v>45227</v>
      </c>
      <c r="D3765" t="inlineStr">
        <is>
          <t>VÄSTRA GÖTALANDS LÄN</t>
        </is>
      </c>
      <c r="E3765" t="inlineStr">
        <is>
          <t>HÄRRYDA</t>
        </is>
      </c>
      <c r="G3765" t="n">
        <v>0.4</v>
      </c>
      <c r="H3765" t="n">
        <v>0</v>
      </c>
      <c r="I3765" t="n">
        <v>0</v>
      </c>
      <c r="J3765" t="n">
        <v>0</v>
      </c>
      <c r="K3765" t="n">
        <v>0</v>
      </c>
      <c r="L3765" t="n">
        <v>0</v>
      </c>
      <c r="M3765" t="n">
        <v>0</v>
      </c>
      <c r="N3765" t="n">
        <v>0</v>
      </c>
      <c r="O3765" t="n">
        <v>0</v>
      </c>
      <c r="P3765" t="n">
        <v>0</v>
      </c>
      <c r="Q3765" t="n">
        <v>0</v>
      </c>
      <c r="R3765" s="2" t="inlineStr"/>
    </row>
    <row r="3766" ht="15" customHeight="1">
      <c r="A3766" t="inlineStr">
        <is>
          <t>A 65687-2019</t>
        </is>
      </c>
      <c r="B3766" s="1" t="n">
        <v>43804</v>
      </c>
      <c r="C3766" s="1" t="n">
        <v>45227</v>
      </c>
      <c r="D3766" t="inlineStr">
        <is>
          <t>VÄSTRA GÖTALANDS LÄN</t>
        </is>
      </c>
      <c r="E3766" t="inlineStr">
        <is>
          <t>HÄRRYDA</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66624-2019</t>
        </is>
      </c>
      <c r="B3767" s="1" t="n">
        <v>43804</v>
      </c>
      <c r="C3767" s="1" t="n">
        <v>45227</v>
      </c>
      <c r="D3767" t="inlineStr">
        <is>
          <t>VÄSTRA GÖTALANDS LÄN</t>
        </is>
      </c>
      <c r="E3767" t="inlineStr">
        <is>
          <t>HJO</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65600-2019</t>
        </is>
      </c>
      <c r="B3768" s="1" t="n">
        <v>43804</v>
      </c>
      <c r="C3768" s="1" t="n">
        <v>45227</v>
      </c>
      <c r="D3768" t="inlineStr">
        <is>
          <t>VÄSTRA GÖTALANDS LÄN</t>
        </is>
      </c>
      <c r="E3768" t="inlineStr">
        <is>
          <t>KARLSBORG</t>
        </is>
      </c>
      <c r="G3768" t="n">
        <v>9.4</v>
      </c>
      <c r="H3768" t="n">
        <v>0</v>
      </c>
      <c r="I3768" t="n">
        <v>0</v>
      </c>
      <c r="J3768" t="n">
        <v>0</v>
      </c>
      <c r="K3768" t="n">
        <v>0</v>
      </c>
      <c r="L3768" t="n">
        <v>0</v>
      </c>
      <c r="M3768" t="n">
        <v>0</v>
      </c>
      <c r="N3768" t="n">
        <v>0</v>
      </c>
      <c r="O3768" t="n">
        <v>0</v>
      </c>
      <c r="P3768" t="n">
        <v>0</v>
      </c>
      <c r="Q3768" t="n">
        <v>0</v>
      </c>
      <c r="R3768" s="2" t="inlineStr"/>
    </row>
    <row r="3769" ht="15" customHeight="1">
      <c r="A3769" t="inlineStr">
        <is>
          <t>A 65616-2019</t>
        </is>
      </c>
      <c r="B3769" s="1" t="n">
        <v>43804</v>
      </c>
      <c r="C3769" s="1" t="n">
        <v>45227</v>
      </c>
      <c r="D3769" t="inlineStr">
        <is>
          <t>VÄSTRA GÖTALANDS LÄN</t>
        </is>
      </c>
      <c r="E3769" t="inlineStr">
        <is>
          <t>KARLSBORG</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65630-2019</t>
        </is>
      </c>
      <c r="B3770" s="1" t="n">
        <v>43804</v>
      </c>
      <c r="C3770" s="1" t="n">
        <v>45227</v>
      </c>
      <c r="D3770" t="inlineStr">
        <is>
          <t>VÄSTRA GÖTALANDS LÄN</t>
        </is>
      </c>
      <c r="E3770" t="inlineStr">
        <is>
          <t>SKÖVDE</t>
        </is>
      </c>
      <c r="G3770" t="n">
        <v>3.6</v>
      </c>
      <c r="H3770" t="n">
        <v>0</v>
      </c>
      <c r="I3770" t="n">
        <v>0</v>
      </c>
      <c r="J3770" t="n">
        <v>0</v>
      </c>
      <c r="K3770" t="n">
        <v>0</v>
      </c>
      <c r="L3770" t="n">
        <v>0</v>
      </c>
      <c r="M3770" t="n">
        <v>0</v>
      </c>
      <c r="N3770" t="n">
        <v>0</v>
      </c>
      <c r="O3770" t="n">
        <v>0</v>
      </c>
      <c r="P3770" t="n">
        <v>0</v>
      </c>
      <c r="Q3770" t="n">
        <v>0</v>
      </c>
      <c r="R3770" s="2" t="inlineStr"/>
    </row>
    <row r="3771" ht="15" customHeight="1">
      <c r="A3771" t="inlineStr">
        <is>
          <t>A 65666-2019</t>
        </is>
      </c>
      <c r="B3771" s="1" t="n">
        <v>43804</v>
      </c>
      <c r="C3771" s="1" t="n">
        <v>45227</v>
      </c>
      <c r="D3771" t="inlineStr">
        <is>
          <t>VÄSTRA GÖTALANDS LÄN</t>
        </is>
      </c>
      <c r="E3771" t="inlineStr">
        <is>
          <t>BOLLEBYGD</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65693-2019</t>
        </is>
      </c>
      <c r="B3772" s="1" t="n">
        <v>43804</v>
      </c>
      <c r="C3772" s="1" t="n">
        <v>45227</v>
      </c>
      <c r="D3772" t="inlineStr">
        <is>
          <t>VÄSTRA GÖTALANDS LÄN</t>
        </is>
      </c>
      <c r="E3772" t="inlineStr">
        <is>
          <t>HÄRRYDA</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65688-2019</t>
        </is>
      </c>
      <c r="B3773" s="1" t="n">
        <v>43804</v>
      </c>
      <c r="C3773" s="1" t="n">
        <v>45227</v>
      </c>
      <c r="D3773" t="inlineStr">
        <is>
          <t>VÄSTRA GÖTALANDS LÄN</t>
        </is>
      </c>
      <c r="E3773" t="inlineStr">
        <is>
          <t>HÄRRYDA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65696-2019</t>
        </is>
      </c>
      <c r="B3774" s="1" t="n">
        <v>43804</v>
      </c>
      <c r="C3774" s="1" t="n">
        <v>45227</v>
      </c>
      <c r="D3774" t="inlineStr">
        <is>
          <t>VÄSTRA GÖTALANDS LÄN</t>
        </is>
      </c>
      <c r="E3774" t="inlineStr">
        <is>
          <t>LILLA EDET</t>
        </is>
      </c>
      <c r="G3774" t="n">
        <v>11.9</v>
      </c>
      <c r="H3774" t="n">
        <v>0</v>
      </c>
      <c r="I3774" t="n">
        <v>0</v>
      </c>
      <c r="J3774" t="n">
        <v>0</v>
      </c>
      <c r="K3774" t="n">
        <v>0</v>
      </c>
      <c r="L3774" t="n">
        <v>0</v>
      </c>
      <c r="M3774" t="n">
        <v>0</v>
      </c>
      <c r="N3774" t="n">
        <v>0</v>
      </c>
      <c r="O3774" t="n">
        <v>0</v>
      </c>
      <c r="P3774" t="n">
        <v>0</v>
      </c>
      <c r="Q3774" t="n">
        <v>0</v>
      </c>
      <c r="R3774" s="2" t="inlineStr"/>
    </row>
    <row r="3775" ht="15" customHeight="1">
      <c r="A3775" t="inlineStr">
        <is>
          <t>A 65732-2019</t>
        </is>
      </c>
      <c r="B3775" s="1" t="n">
        <v>43804</v>
      </c>
      <c r="C3775" s="1" t="n">
        <v>45227</v>
      </c>
      <c r="D3775" t="inlineStr">
        <is>
          <t>VÄSTRA GÖTALANDS LÄN</t>
        </is>
      </c>
      <c r="E3775" t="inlineStr">
        <is>
          <t>UDDEVALLA</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65700-2019</t>
        </is>
      </c>
      <c r="B3776" s="1" t="n">
        <v>43804</v>
      </c>
      <c r="C3776" s="1" t="n">
        <v>45227</v>
      </c>
      <c r="D3776" t="inlineStr">
        <is>
          <t>VÄSTRA GÖTALANDS LÄN</t>
        </is>
      </c>
      <c r="E3776" t="inlineStr">
        <is>
          <t>SVENLJUNGA</t>
        </is>
      </c>
      <c r="F3776" t="inlineStr">
        <is>
          <t>Kommuner</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65886-2019</t>
        </is>
      </c>
      <c r="B3777" s="1" t="n">
        <v>43805</v>
      </c>
      <c r="C3777" s="1" t="n">
        <v>45227</v>
      </c>
      <c r="D3777" t="inlineStr">
        <is>
          <t>VÄSTRA GÖTALANDS LÄN</t>
        </is>
      </c>
      <c r="E3777" t="inlineStr">
        <is>
          <t>MELLERUD</t>
        </is>
      </c>
      <c r="G3777" t="n">
        <v>2.4</v>
      </c>
      <c r="H3777" t="n">
        <v>0</v>
      </c>
      <c r="I3777" t="n">
        <v>0</v>
      </c>
      <c r="J3777" t="n">
        <v>0</v>
      </c>
      <c r="K3777" t="n">
        <v>0</v>
      </c>
      <c r="L3777" t="n">
        <v>0</v>
      </c>
      <c r="M3777" t="n">
        <v>0</v>
      </c>
      <c r="N3777" t="n">
        <v>0</v>
      </c>
      <c r="O3777" t="n">
        <v>0</v>
      </c>
      <c r="P3777" t="n">
        <v>0</v>
      </c>
      <c r="Q3777" t="n">
        <v>0</v>
      </c>
      <c r="R3777" s="2" t="inlineStr"/>
    </row>
    <row r="3778" ht="15" customHeight="1">
      <c r="A3778" t="inlineStr">
        <is>
          <t>A 66029-2019</t>
        </is>
      </c>
      <c r="B3778" s="1" t="n">
        <v>43805</v>
      </c>
      <c r="C3778" s="1" t="n">
        <v>45227</v>
      </c>
      <c r="D3778" t="inlineStr">
        <is>
          <t>VÄSTRA GÖTALANDS LÄN</t>
        </is>
      </c>
      <c r="E3778" t="inlineStr">
        <is>
          <t>TIDAHOLM</t>
        </is>
      </c>
      <c r="G3778" t="n">
        <v>5.5</v>
      </c>
      <c r="H3778" t="n">
        <v>0</v>
      </c>
      <c r="I3778" t="n">
        <v>0</v>
      </c>
      <c r="J3778" t="n">
        <v>0</v>
      </c>
      <c r="K3778" t="n">
        <v>0</v>
      </c>
      <c r="L3778" t="n">
        <v>0</v>
      </c>
      <c r="M3778" t="n">
        <v>0</v>
      </c>
      <c r="N3778" t="n">
        <v>0</v>
      </c>
      <c r="O3778" t="n">
        <v>0</v>
      </c>
      <c r="P3778" t="n">
        <v>0</v>
      </c>
      <c r="Q3778" t="n">
        <v>0</v>
      </c>
      <c r="R3778" s="2" t="inlineStr"/>
    </row>
    <row r="3779" ht="15" customHeight="1">
      <c r="A3779" t="inlineStr">
        <is>
          <t>A 65928-2019</t>
        </is>
      </c>
      <c r="B3779" s="1" t="n">
        <v>43805</v>
      </c>
      <c r="C3779" s="1" t="n">
        <v>45227</v>
      </c>
      <c r="D3779" t="inlineStr">
        <is>
          <t>VÄSTRA GÖTALANDS LÄN</t>
        </is>
      </c>
      <c r="E3779" t="inlineStr">
        <is>
          <t>GULLSPÅNG</t>
        </is>
      </c>
      <c r="F3779" t="inlineStr">
        <is>
          <t>Kyrkan</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66036-2019</t>
        </is>
      </c>
      <c r="B3780" s="1" t="n">
        <v>43805</v>
      </c>
      <c r="C3780" s="1" t="n">
        <v>45227</v>
      </c>
      <c r="D3780" t="inlineStr">
        <is>
          <t>VÄSTRA GÖTALANDS LÄN</t>
        </is>
      </c>
      <c r="E3780" t="inlineStr">
        <is>
          <t>TANUM</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65794-2019</t>
        </is>
      </c>
      <c r="B3781" s="1" t="n">
        <v>43805</v>
      </c>
      <c r="C3781" s="1" t="n">
        <v>45227</v>
      </c>
      <c r="D3781" t="inlineStr">
        <is>
          <t>VÄSTRA GÖTALANDS LÄN</t>
        </is>
      </c>
      <c r="E3781" t="inlineStr">
        <is>
          <t>SKÖVDE</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65852-2019</t>
        </is>
      </c>
      <c r="B3782" s="1" t="n">
        <v>43805</v>
      </c>
      <c r="C3782" s="1" t="n">
        <v>45227</v>
      </c>
      <c r="D3782" t="inlineStr">
        <is>
          <t>VÄSTRA GÖTALANDS LÄN</t>
        </is>
      </c>
      <c r="E3782" t="inlineStr">
        <is>
          <t>BENGTSFORS</t>
        </is>
      </c>
      <c r="G3782" t="n">
        <v>3.2</v>
      </c>
      <c r="H3782" t="n">
        <v>0</v>
      </c>
      <c r="I3782" t="n">
        <v>0</v>
      </c>
      <c r="J3782" t="n">
        <v>0</v>
      </c>
      <c r="K3782" t="n">
        <v>0</v>
      </c>
      <c r="L3782" t="n">
        <v>0</v>
      </c>
      <c r="M3782" t="n">
        <v>0</v>
      </c>
      <c r="N3782" t="n">
        <v>0</v>
      </c>
      <c r="O3782" t="n">
        <v>0</v>
      </c>
      <c r="P3782" t="n">
        <v>0</v>
      </c>
      <c r="Q3782" t="n">
        <v>0</v>
      </c>
      <c r="R3782" s="2" t="inlineStr"/>
    </row>
    <row r="3783" ht="15" customHeight="1">
      <c r="A3783" t="inlineStr">
        <is>
          <t>A 66027-2019</t>
        </is>
      </c>
      <c r="B3783" s="1" t="n">
        <v>43805</v>
      </c>
      <c r="C3783" s="1" t="n">
        <v>45227</v>
      </c>
      <c r="D3783" t="inlineStr">
        <is>
          <t>VÄSTRA GÖTALANDS LÄN</t>
        </is>
      </c>
      <c r="E3783" t="inlineStr">
        <is>
          <t>TIDAHOLM</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66114-2019</t>
        </is>
      </c>
      <c r="B3784" s="1" t="n">
        <v>43808</v>
      </c>
      <c r="C3784" s="1" t="n">
        <v>45227</v>
      </c>
      <c r="D3784" t="inlineStr">
        <is>
          <t>VÄSTRA GÖTALANDS LÄN</t>
        </is>
      </c>
      <c r="E3784" t="inlineStr">
        <is>
          <t>SKÖVDE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67603-2019</t>
        </is>
      </c>
      <c r="B3785" s="1" t="n">
        <v>43808</v>
      </c>
      <c r="C3785" s="1" t="n">
        <v>45227</v>
      </c>
      <c r="D3785" t="inlineStr">
        <is>
          <t>VÄSTRA GÖTALANDS LÄN</t>
        </is>
      </c>
      <c r="E3785" t="inlineStr">
        <is>
          <t>BORÅS</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67627-2019</t>
        </is>
      </c>
      <c r="B3786" s="1" t="n">
        <v>43808</v>
      </c>
      <c r="C3786" s="1" t="n">
        <v>45227</v>
      </c>
      <c r="D3786" t="inlineStr">
        <is>
          <t>VÄSTRA GÖTALANDS LÄN</t>
        </is>
      </c>
      <c r="E3786" t="inlineStr">
        <is>
          <t>BORÅS</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67622-2019</t>
        </is>
      </c>
      <c r="B3787" s="1" t="n">
        <v>43808</v>
      </c>
      <c r="C3787" s="1" t="n">
        <v>45227</v>
      </c>
      <c r="D3787" t="inlineStr">
        <is>
          <t>VÄSTRA GÖTALANDS LÄN</t>
        </is>
      </c>
      <c r="E3787" t="inlineStr">
        <is>
          <t>BORÅS</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67335-2019</t>
        </is>
      </c>
      <c r="B3788" s="1" t="n">
        <v>43808</v>
      </c>
      <c r="C3788" s="1" t="n">
        <v>45227</v>
      </c>
      <c r="D3788" t="inlineStr">
        <is>
          <t>VÄSTRA GÖTALANDS LÄN</t>
        </is>
      </c>
      <c r="E3788" t="inlineStr">
        <is>
          <t>BORÅS</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67600-2019</t>
        </is>
      </c>
      <c r="B3789" s="1" t="n">
        <v>43808</v>
      </c>
      <c r="C3789" s="1" t="n">
        <v>45227</v>
      </c>
      <c r="D3789" t="inlineStr">
        <is>
          <t>VÄSTRA GÖTALANDS LÄN</t>
        </is>
      </c>
      <c r="E3789" t="inlineStr">
        <is>
          <t>BORÅS</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67623-2019</t>
        </is>
      </c>
      <c r="B3790" s="1" t="n">
        <v>43808</v>
      </c>
      <c r="C3790" s="1" t="n">
        <v>45227</v>
      </c>
      <c r="D3790" t="inlineStr">
        <is>
          <t>VÄSTRA GÖTALANDS LÄN</t>
        </is>
      </c>
      <c r="E3790" t="inlineStr">
        <is>
          <t>BORÅS</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67648-2019</t>
        </is>
      </c>
      <c r="B3791" s="1" t="n">
        <v>43809</v>
      </c>
      <c r="C3791" s="1" t="n">
        <v>45227</v>
      </c>
      <c r="D3791" t="inlineStr">
        <is>
          <t>VÄSTRA GÖTALANDS LÄN</t>
        </is>
      </c>
      <c r="E3791" t="inlineStr">
        <is>
          <t>BENGTSFORS</t>
        </is>
      </c>
      <c r="F3791" t="inlineStr">
        <is>
          <t>Kyrkan</t>
        </is>
      </c>
      <c r="G3791" t="n">
        <v>4.8</v>
      </c>
      <c r="H3791" t="n">
        <v>0</v>
      </c>
      <c r="I3791" t="n">
        <v>0</v>
      </c>
      <c r="J3791" t="n">
        <v>0</v>
      </c>
      <c r="K3791" t="n">
        <v>0</v>
      </c>
      <c r="L3791" t="n">
        <v>0</v>
      </c>
      <c r="M3791" t="n">
        <v>0</v>
      </c>
      <c r="N3791" t="n">
        <v>0</v>
      </c>
      <c r="O3791" t="n">
        <v>0</v>
      </c>
      <c r="P3791" t="n">
        <v>0</v>
      </c>
      <c r="Q3791" t="n">
        <v>0</v>
      </c>
      <c r="R3791" s="2" t="inlineStr"/>
    </row>
    <row r="3792" ht="15" customHeight="1">
      <c r="A3792" t="inlineStr">
        <is>
          <t>A 66610-2019</t>
        </is>
      </c>
      <c r="B3792" s="1" t="n">
        <v>43809</v>
      </c>
      <c r="C3792" s="1" t="n">
        <v>45227</v>
      </c>
      <c r="D3792" t="inlineStr">
        <is>
          <t>VÄSTRA GÖTALANDS LÄN</t>
        </is>
      </c>
      <c r="E3792" t="inlineStr">
        <is>
          <t>BENGTSFORS</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66408-2019</t>
        </is>
      </c>
      <c r="B3793" s="1" t="n">
        <v>43809</v>
      </c>
      <c r="C3793" s="1" t="n">
        <v>45227</v>
      </c>
      <c r="D3793" t="inlineStr">
        <is>
          <t>VÄSTRA GÖTALANDS LÄN</t>
        </is>
      </c>
      <c r="E3793" t="inlineStr">
        <is>
          <t>MARK</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66692-2019</t>
        </is>
      </c>
      <c r="B3794" s="1" t="n">
        <v>43809</v>
      </c>
      <c r="C3794" s="1" t="n">
        <v>45227</v>
      </c>
      <c r="D3794" t="inlineStr">
        <is>
          <t>VÄSTRA GÖTALANDS LÄN</t>
        </is>
      </c>
      <c r="E3794" t="inlineStr">
        <is>
          <t>TANUM</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66678-2019</t>
        </is>
      </c>
      <c r="B3795" s="1" t="n">
        <v>43809</v>
      </c>
      <c r="C3795" s="1" t="n">
        <v>45227</v>
      </c>
      <c r="D3795" t="inlineStr">
        <is>
          <t>VÄSTRA GÖTALANDS LÄN</t>
        </is>
      </c>
      <c r="E3795" t="inlineStr">
        <is>
          <t>TROLLHÄTTAN</t>
        </is>
      </c>
      <c r="G3795" t="n">
        <v>3.3</v>
      </c>
      <c r="H3795" t="n">
        <v>0</v>
      </c>
      <c r="I3795" t="n">
        <v>0</v>
      </c>
      <c r="J3795" t="n">
        <v>0</v>
      </c>
      <c r="K3795" t="n">
        <v>0</v>
      </c>
      <c r="L3795" t="n">
        <v>0</v>
      </c>
      <c r="M3795" t="n">
        <v>0</v>
      </c>
      <c r="N3795" t="n">
        <v>0</v>
      </c>
      <c r="O3795" t="n">
        <v>0</v>
      </c>
      <c r="P3795" t="n">
        <v>0</v>
      </c>
      <c r="Q3795" t="n">
        <v>0</v>
      </c>
      <c r="R3795" s="2" t="inlineStr"/>
    </row>
    <row r="3796" ht="15" customHeight="1">
      <c r="A3796" t="inlineStr">
        <is>
          <t>A 67845-2019</t>
        </is>
      </c>
      <c r="B3796" s="1" t="n">
        <v>43810</v>
      </c>
      <c r="C3796" s="1" t="n">
        <v>45227</v>
      </c>
      <c r="D3796" t="inlineStr">
        <is>
          <t>VÄSTRA GÖTALANDS LÄN</t>
        </is>
      </c>
      <c r="E3796" t="inlineStr">
        <is>
          <t>FÄRGELANDA</t>
        </is>
      </c>
      <c r="G3796" t="n">
        <v>1.7</v>
      </c>
      <c r="H3796" t="n">
        <v>0</v>
      </c>
      <c r="I3796" t="n">
        <v>0</v>
      </c>
      <c r="J3796" t="n">
        <v>0</v>
      </c>
      <c r="K3796" t="n">
        <v>0</v>
      </c>
      <c r="L3796" t="n">
        <v>0</v>
      </c>
      <c r="M3796" t="n">
        <v>0</v>
      </c>
      <c r="N3796" t="n">
        <v>0</v>
      </c>
      <c r="O3796" t="n">
        <v>0</v>
      </c>
      <c r="P3796" t="n">
        <v>0</v>
      </c>
      <c r="Q3796" t="n">
        <v>0</v>
      </c>
      <c r="R3796" s="2" t="inlineStr"/>
    </row>
    <row r="3797" ht="15" customHeight="1">
      <c r="A3797" t="inlineStr">
        <is>
          <t>A 66797-2019</t>
        </is>
      </c>
      <c r="B3797" s="1" t="n">
        <v>43810</v>
      </c>
      <c r="C3797" s="1" t="n">
        <v>45227</v>
      </c>
      <c r="D3797" t="inlineStr">
        <is>
          <t>VÄSTRA GÖTALANDS LÄN</t>
        </is>
      </c>
      <c r="E3797" t="inlineStr">
        <is>
          <t>UDDEVALLA</t>
        </is>
      </c>
      <c r="G3797" t="n">
        <v>8.9</v>
      </c>
      <c r="H3797" t="n">
        <v>0</v>
      </c>
      <c r="I3797" t="n">
        <v>0</v>
      </c>
      <c r="J3797" t="n">
        <v>0</v>
      </c>
      <c r="K3797" t="n">
        <v>0</v>
      </c>
      <c r="L3797" t="n">
        <v>0</v>
      </c>
      <c r="M3797" t="n">
        <v>0</v>
      </c>
      <c r="N3797" t="n">
        <v>0</v>
      </c>
      <c r="O3797" t="n">
        <v>0</v>
      </c>
      <c r="P3797" t="n">
        <v>0</v>
      </c>
      <c r="Q3797" t="n">
        <v>0</v>
      </c>
      <c r="R3797" s="2" t="inlineStr"/>
    </row>
    <row r="3798" ht="15" customHeight="1">
      <c r="A3798" t="inlineStr">
        <is>
          <t>A 67760-2019</t>
        </is>
      </c>
      <c r="B3798" s="1" t="n">
        <v>43810</v>
      </c>
      <c r="C3798" s="1" t="n">
        <v>45227</v>
      </c>
      <c r="D3798" t="inlineStr">
        <is>
          <t>VÄSTRA GÖTALANDS LÄN</t>
        </is>
      </c>
      <c r="E3798" t="inlineStr">
        <is>
          <t>KARLSBORG</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66947-2019</t>
        </is>
      </c>
      <c r="B3799" s="1" t="n">
        <v>43810</v>
      </c>
      <c r="C3799" s="1" t="n">
        <v>45227</v>
      </c>
      <c r="D3799" t="inlineStr">
        <is>
          <t>VÄSTRA GÖTALANDS LÄN</t>
        </is>
      </c>
      <c r="E3799" t="inlineStr">
        <is>
          <t>BOLLEBYGD</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66741-2019</t>
        </is>
      </c>
      <c r="B3800" s="1" t="n">
        <v>43810</v>
      </c>
      <c r="C3800" s="1" t="n">
        <v>45227</v>
      </c>
      <c r="D3800" t="inlineStr">
        <is>
          <t>VÄSTRA GÖTALANDS LÄN</t>
        </is>
      </c>
      <c r="E3800" t="inlineStr">
        <is>
          <t>LILLA EDET</t>
        </is>
      </c>
      <c r="G3800" t="n">
        <v>2.9</v>
      </c>
      <c r="H3800" t="n">
        <v>0</v>
      </c>
      <c r="I3800" t="n">
        <v>0</v>
      </c>
      <c r="J3800" t="n">
        <v>0</v>
      </c>
      <c r="K3800" t="n">
        <v>0</v>
      </c>
      <c r="L3800" t="n">
        <v>0</v>
      </c>
      <c r="M3800" t="n">
        <v>0</v>
      </c>
      <c r="N3800" t="n">
        <v>0</v>
      </c>
      <c r="O3800" t="n">
        <v>0</v>
      </c>
      <c r="P3800" t="n">
        <v>0</v>
      </c>
      <c r="Q3800" t="n">
        <v>0</v>
      </c>
      <c r="R3800" s="2" t="inlineStr"/>
    </row>
    <row r="3801" ht="15" customHeight="1">
      <c r="A3801" t="inlineStr">
        <is>
          <t>A 66956-2019</t>
        </is>
      </c>
      <c r="B3801" s="1" t="n">
        <v>43810</v>
      </c>
      <c r="C3801" s="1" t="n">
        <v>45227</v>
      </c>
      <c r="D3801" t="inlineStr">
        <is>
          <t>VÄSTRA GÖTALANDS LÄN</t>
        </is>
      </c>
      <c r="E3801" t="inlineStr">
        <is>
          <t>MELLERUD</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67850-2019</t>
        </is>
      </c>
      <c r="B3802" s="1" t="n">
        <v>43810</v>
      </c>
      <c r="C3802" s="1" t="n">
        <v>45227</v>
      </c>
      <c r="D3802" t="inlineStr">
        <is>
          <t>VÄSTRA GÖTALANDS LÄN</t>
        </is>
      </c>
      <c r="E3802" t="inlineStr">
        <is>
          <t>FÄRGELANDA</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67026-2019</t>
        </is>
      </c>
      <c r="B3803" s="1" t="n">
        <v>43811</v>
      </c>
      <c r="C3803" s="1" t="n">
        <v>45227</v>
      </c>
      <c r="D3803" t="inlineStr">
        <is>
          <t>VÄSTRA GÖTALANDS LÄN</t>
        </is>
      </c>
      <c r="E3803" t="inlineStr">
        <is>
          <t>GULLSPÅNG</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67036-2019</t>
        </is>
      </c>
      <c r="B3804" s="1" t="n">
        <v>43811</v>
      </c>
      <c r="C3804" s="1" t="n">
        <v>45227</v>
      </c>
      <c r="D3804" t="inlineStr">
        <is>
          <t>VÄSTRA GÖTALANDS LÄN</t>
        </is>
      </c>
      <c r="E3804" t="inlineStr">
        <is>
          <t>GULLSPÅNG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67129-2019</t>
        </is>
      </c>
      <c r="B3805" s="1" t="n">
        <v>43811</v>
      </c>
      <c r="C3805" s="1" t="n">
        <v>45227</v>
      </c>
      <c r="D3805" t="inlineStr">
        <is>
          <t>VÄSTRA GÖTALANDS LÄN</t>
        </is>
      </c>
      <c r="E3805" t="inlineStr">
        <is>
          <t>BENGTSFORS</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68007-2019</t>
        </is>
      </c>
      <c r="B3806" s="1" t="n">
        <v>43811</v>
      </c>
      <c r="C3806" s="1" t="n">
        <v>45227</v>
      </c>
      <c r="D3806" t="inlineStr">
        <is>
          <t>VÄSTRA GÖTALANDS LÄN</t>
        </is>
      </c>
      <c r="E3806" t="inlineStr">
        <is>
          <t>TANUM</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67030-2019</t>
        </is>
      </c>
      <c r="B3807" s="1" t="n">
        <v>43811</v>
      </c>
      <c r="C3807" s="1" t="n">
        <v>45227</v>
      </c>
      <c r="D3807" t="inlineStr">
        <is>
          <t>VÄSTRA GÖTALANDS LÄN</t>
        </is>
      </c>
      <c r="E3807" t="inlineStr">
        <is>
          <t>GULLSPÅNG</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67074-2019</t>
        </is>
      </c>
      <c r="B3808" s="1" t="n">
        <v>43811</v>
      </c>
      <c r="C3808" s="1" t="n">
        <v>45227</v>
      </c>
      <c r="D3808" t="inlineStr">
        <is>
          <t>VÄSTRA GÖTALANDS LÄN</t>
        </is>
      </c>
      <c r="E3808" t="inlineStr">
        <is>
          <t>FÄRGELANDA</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67177-2019</t>
        </is>
      </c>
      <c r="B3809" s="1" t="n">
        <v>43811</v>
      </c>
      <c r="C3809" s="1" t="n">
        <v>45227</v>
      </c>
      <c r="D3809" t="inlineStr">
        <is>
          <t>VÄSTRA GÖTALANDS LÄN</t>
        </is>
      </c>
      <c r="E3809" t="inlineStr">
        <is>
          <t>VÄNERSBORG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67040-2019</t>
        </is>
      </c>
      <c r="B3810" s="1" t="n">
        <v>43811</v>
      </c>
      <c r="C3810" s="1" t="n">
        <v>45227</v>
      </c>
      <c r="D3810" t="inlineStr">
        <is>
          <t>VÄSTRA GÖTALANDS LÄN</t>
        </is>
      </c>
      <c r="E3810" t="inlineStr">
        <is>
          <t>BOLLEBYGD</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68004-2019</t>
        </is>
      </c>
      <c r="B3811" s="1" t="n">
        <v>43811</v>
      </c>
      <c r="C3811" s="1" t="n">
        <v>45227</v>
      </c>
      <c r="D3811" t="inlineStr">
        <is>
          <t>VÄSTRA GÖTALANDS LÄN</t>
        </is>
      </c>
      <c r="E3811" t="inlineStr">
        <is>
          <t>TANUM</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66978-2019</t>
        </is>
      </c>
      <c r="B3812" s="1" t="n">
        <v>43811</v>
      </c>
      <c r="C3812" s="1" t="n">
        <v>45227</v>
      </c>
      <c r="D3812" t="inlineStr">
        <is>
          <t>VÄSTRA GÖTALANDS LÄN</t>
        </is>
      </c>
      <c r="E3812" t="inlineStr">
        <is>
          <t>TANUM</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67002-2019</t>
        </is>
      </c>
      <c r="B3813" s="1" t="n">
        <v>43811</v>
      </c>
      <c r="C3813" s="1" t="n">
        <v>45227</v>
      </c>
      <c r="D3813" t="inlineStr">
        <is>
          <t>VÄSTRA GÖTALANDS LÄN</t>
        </is>
      </c>
      <c r="E3813" t="inlineStr">
        <is>
          <t>BOLLEBYGD</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67096-2019</t>
        </is>
      </c>
      <c r="B3814" s="1" t="n">
        <v>43811</v>
      </c>
      <c r="C3814" s="1" t="n">
        <v>45227</v>
      </c>
      <c r="D3814" t="inlineStr">
        <is>
          <t>VÄSTRA GÖTALANDS LÄN</t>
        </is>
      </c>
      <c r="E3814" t="inlineStr">
        <is>
          <t>TRANEMO</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68753-2019</t>
        </is>
      </c>
      <c r="B3815" s="1" t="n">
        <v>43812</v>
      </c>
      <c r="C3815" s="1" t="n">
        <v>45227</v>
      </c>
      <c r="D3815" t="inlineStr">
        <is>
          <t>VÄSTRA GÖTALANDS LÄN</t>
        </is>
      </c>
      <c r="E3815" t="inlineStr">
        <is>
          <t>TANUM</t>
        </is>
      </c>
      <c r="F3815" t="inlineStr">
        <is>
          <t>Kyrkan</t>
        </is>
      </c>
      <c r="G3815" t="n">
        <v>8</v>
      </c>
      <c r="H3815" t="n">
        <v>0</v>
      </c>
      <c r="I3815" t="n">
        <v>0</v>
      </c>
      <c r="J3815" t="n">
        <v>0</v>
      </c>
      <c r="K3815" t="n">
        <v>0</v>
      </c>
      <c r="L3815" t="n">
        <v>0</v>
      </c>
      <c r="M3815" t="n">
        <v>0</v>
      </c>
      <c r="N3815" t="n">
        <v>0</v>
      </c>
      <c r="O3815" t="n">
        <v>0</v>
      </c>
      <c r="P3815" t="n">
        <v>0</v>
      </c>
      <c r="Q3815" t="n">
        <v>0</v>
      </c>
      <c r="R3815" s="2" t="inlineStr"/>
    </row>
    <row r="3816" ht="15" customHeight="1">
      <c r="A3816" t="inlineStr">
        <is>
          <t>A 67349-2019</t>
        </is>
      </c>
      <c r="B3816" s="1" t="n">
        <v>43812</v>
      </c>
      <c r="C3816" s="1" t="n">
        <v>45227</v>
      </c>
      <c r="D3816" t="inlineStr">
        <is>
          <t>VÄSTRA GÖTALANDS LÄN</t>
        </is>
      </c>
      <c r="E3816" t="inlineStr">
        <is>
          <t>UDDEVALLA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67288-2019</t>
        </is>
      </c>
      <c r="B3817" s="1" t="n">
        <v>43812</v>
      </c>
      <c r="C3817" s="1" t="n">
        <v>45227</v>
      </c>
      <c r="D3817" t="inlineStr">
        <is>
          <t>VÄSTRA GÖTALANDS LÄN</t>
        </is>
      </c>
      <c r="E3817" t="inlineStr">
        <is>
          <t>MUNKEDAL</t>
        </is>
      </c>
      <c r="G3817" t="n">
        <v>5.5</v>
      </c>
      <c r="H3817" t="n">
        <v>0</v>
      </c>
      <c r="I3817" t="n">
        <v>0</v>
      </c>
      <c r="J3817" t="n">
        <v>0</v>
      </c>
      <c r="K3817" t="n">
        <v>0</v>
      </c>
      <c r="L3817" t="n">
        <v>0</v>
      </c>
      <c r="M3817" t="n">
        <v>0</v>
      </c>
      <c r="N3817" t="n">
        <v>0</v>
      </c>
      <c r="O3817" t="n">
        <v>0</v>
      </c>
      <c r="P3817" t="n">
        <v>0</v>
      </c>
      <c r="Q3817" t="n">
        <v>0</v>
      </c>
      <c r="R3817" s="2" t="inlineStr"/>
    </row>
    <row r="3818" ht="15" customHeight="1">
      <c r="A3818" t="inlineStr">
        <is>
          <t>A 68762-2019</t>
        </is>
      </c>
      <c r="B3818" s="1" t="n">
        <v>43812</v>
      </c>
      <c r="C3818" s="1" t="n">
        <v>45227</v>
      </c>
      <c r="D3818" t="inlineStr">
        <is>
          <t>VÄSTRA GÖTALANDS LÄN</t>
        </is>
      </c>
      <c r="E3818" t="inlineStr">
        <is>
          <t>TANUM</t>
        </is>
      </c>
      <c r="F3818" t="inlineStr">
        <is>
          <t>Kyrkan</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67282-2019</t>
        </is>
      </c>
      <c r="B3819" s="1" t="n">
        <v>43812</v>
      </c>
      <c r="C3819" s="1" t="n">
        <v>45227</v>
      </c>
      <c r="D3819" t="inlineStr">
        <is>
          <t>VÄSTRA GÖTALANDS LÄN</t>
        </is>
      </c>
      <c r="E3819" t="inlineStr">
        <is>
          <t>TANUM</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67353-2019</t>
        </is>
      </c>
      <c r="B3820" s="1" t="n">
        <v>43812</v>
      </c>
      <c r="C3820" s="1" t="n">
        <v>45227</v>
      </c>
      <c r="D3820" t="inlineStr">
        <is>
          <t>VÄSTRA GÖTALANDS LÄN</t>
        </is>
      </c>
      <c r="E3820" t="inlineStr">
        <is>
          <t>FALKÖPING</t>
        </is>
      </c>
      <c r="G3820" t="n">
        <v>3.5</v>
      </c>
      <c r="H3820" t="n">
        <v>0</v>
      </c>
      <c r="I3820" t="n">
        <v>0</v>
      </c>
      <c r="J3820" t="n">
        <v>0</v>
      </c>
      <c r="K3820" t="n">
        <v>0</v>
      </c>
      <c r="L3820" t="n">
        <v>0</v>
      </c>
      <c r="M3820" t="n">
        <v>0</v>
      </c>
      <c r="N3820" t="n">
        <v>0</v>
      </c>
      <c r="O3820" t="n">
        <v>0</v>
      </c>
      <c r="P3820" t="n">
        <v>0</v>
      </c>
      <c r="Q3820" t="n">
        <v>0</v>
      </c>
      <c r="R3820" s="2" t="inlineStr"/>
    </row>
    <row r="3821" ht="15" customHeight="1">
      <c r="A3821" t="inlineStr">
        <is>
          <t>A 67421-2019</t>
        </is>
      </c>
      <c r="B3821" s="1" t="n">
        <v>43812</v>
      </c>
      <c r="C3821" s="1" t="n">
        <v>45227</v>
      </c>
      <c r="D3821" t="inlineStr">
        <is>
          <t>VÄSTRA GÖTALANDS LÄN</t>
        </is>
      </c>
      <c r="E3821" t="inlineStr">
        <is>
          <t>BENGTSFORS</t>
        </is>
      </c>
      <c r="G3821" t="n">
        <v>3.8</v>
      </c>
      <c r="H3821" t="n">
        <v>0</v>
      </c>
      <c r="I3821" t="n">
        <v>0</v>
      </c>
      <c r="J3821" t="n">
        <v>0</v>
      </c>
      <c r="K3821" t="n">
        <v>0</v>
      </c>
      <c r="L3821" t="n">
        <v>0</v>
      </c>
      <c r="M3821" t="n">
        <v>0</v>
      </c>
      <c r="N3821" t="n">
        <v>0</v>
      </c>
      <c r="O3821" t="n">
        <v>0</v>
      </c>
      <c r="P3821" t="n">
        <v>0</v>
      </c>
      <c r="Q3821" t="n">
        <v>0</v>
      </c>
      <c r="R3821" s="2" t="inlineStr"/>
    </row>
    <row r="3822" ht="15" customHeight="1">
      <c r="A3822" t="inlineStr">
        <is>
          <t>A 67687-2019</t>
        </is>
      </c>
      <c r="B3822" s="1" t="n">
        <v>43815</v>
      </c>
      <c r="C3822" s="1" t="n">
        <v>45227</v>
      </c>
      <c r="D3822" t="inlineStr">
        <is>
          <t>VÄSTRA GÖTALANDS LÄN</t>
        </is>
      </c>
      <c r="E3822" t="inlineStr">
        <is>
          <t>BENGTSFORS</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67831-2019</t>
        </is>
      </c>
      <c r="B3823" s="1" t="n">
        <v>43815</v>
      </c>
      <c r="C3823" s="1" t="n">
        <v>45227</v>
      </c>
      <c r="D3823" t="inlineStr">
        <is>
          <t>VÄSTRA GÖTALANDS LÄN</t>
        </is>
      </c>
      <c r="E3823" t="inlineStr">
        <is>
          <t>UDDEVALLA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67685-2019</t>
        </is>
      </c>
      <c r="B3824" s="1" t="n">
        <v>43815</v>
      </c>
      <c r="C3824" s="1" t="n">
        <v>45227</v>
      </c>
      <c r="D3824" t="inlineStr">
        <is>
          <t>VÄSTRA GÖTALANDS LÄN</t>
        </is>
      </c>
      <c r="E3824" t="inlineStr">
        <is>
          <t>BENGTSFORS</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67771-2019</t>
        </is>
      </c>
      <c r="B3825" s="1" t="n">
        <v>43815</v>
      </c>
      <c r="C3825" s="1" t="n">
        <v>45227</v>
      </c>
      <c r="D3825" t="inlineStr">
        <is>
          <t>VÄSTRA GÖTALANDS LÄN</t>
        </is>
      </c>
      <c r="E3825" t="inlineStr">
        <is>
          <t>KARLSBORG</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67629-2019</t>
        </is>
      </c>
      <c r="B3826" s="1" t="n">
        <v>43815</v>
      </c>
      <c r="C3826" s="1" t="n">
        <v>45227</v>
      </c>
      <c r="D3826" t="inlineStr">
        <is>
          <t>VÄSTRA GÖTALANDS LÄN</t>
        </is>
      </c>
      <c r="E3826" t="inlineStr">
        <is>
          <t>TROLLHÄTTAN</t>
        </is>
      </c>
      <c r="F3826" t="inlineStr">
        <is>
          <t>Kommuner</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67645-2019</t>
        </is>
      </c>
      <c r="B3827" s="1" t="n">
        <v>43815</v>
      </c>
      <c r="C3827" s="1" t="n">
        <v>45227</v>
      </c>
      <c r="D3827" t="inlineStr">
        <is>
          <t>VÄSTRA GÖTALANDS LÄN</t>
        </is>
      </c>
      <c r="E3827" t="inlineStr">
        <is>
          <t>SKARA</t>
        </is>
      </c>
      <c r="G3827" t="n">
        <v>7.3</v>
      </c>
      <c r="H3827" t="n">
        <v>0</v>
      </c>
      <c r="I3827" t="n">
        <v>0</v>
      </c>
      <c r="J3827" t="n">
        <v>0</v>
      </c>
      <c r="K3827" t="n">
        <v>0</v>
      </c>
      <c r="L3827" t="n">
        <v>0</v>
      </c>
      <c r="M3827" t="n">
        <v>0</v>
      </c>
      <c r="N3827" t="n">
        <v>0</v>
      </c>
      <c r="O3827" t="n">
        <v>0</v>
      </c>
      <c r="P3827" t="n">
        <v>0</v>
      </c>
      <c r="Q3827" t="n">
        <v>0</v>
      </c>
      <c r="R3827" s="2" t="inlineStr"/>
    </row>
    <row r="3828" ht="15" customHeight="1">
      <c r="A3828" t="inlineStr">
        <is>
          <t>A 67767-2019</t>
        </is>
      </c>
      <c r="B3828" s="1" t="n">
        <v>43815</v>
      </c>
      <c r="C3828" s="1" t="n">
        <v>45227</v>
      </c>
      <c r="D3828" t="inlineStr">
        <is>
          <t>VÄSTRA GÖTALANDS LÄN</t>
        </is>
      </c>
      <c r="E3828" t="inlineStr">
        <is>
          <t>KARLSBORG</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67977-2019</t>
        </is>
      </c>
      <c r="B3829" s="1" t="n">
        <v>43816</v>
      </c>
      <c r="C3829" s="1" t="n">
        <v>45227</v>
      </c>
      <c r="D3829" t="inlineStr">
        <is>
          <t>VÄSTRA GÖTALANDS LÄN</t>
        </is>
      </c>
      <c r="E3829" t="inlineStr">
        <is>
          <t>MARK</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67895-2019</t>
        </is>
      </c>
      <c r="B3830" s="1" t="n">
        <v>43816</v>
      </c>
      <c r="C3830" s="1" t="n">
        <v>45227</v>
      </c>
      <c r="D3830" t="inlineStr">
        <is>
          <t>VÄSTRA GÖTALANDS LÄN</t>
        </is>
      </c>
      <c r="E3830" t="inlineStr">
        <is>
          <t>ALINGSÅS</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67925-2019</t>
        </is>
      </c>
      <c r="B3831" s="1" t="n">
        <v>43816</v>
      </c>
      <c r="C3831" s="1" t="n">
        <v>45227</v>
      </c>
      <c r="D3831" t="inlineStr">
        <is>
          <t>VÄSTRA GÖTALANDS LÄN</t>
        </is>
      </c>
      <c r="E3831" t="inlineStr">
        <is>
          <t>SKARA</t>
        </is>
      </c>
      <c r="F3831" t="inlineStr">
        <is>
          <t>Övriga statliga verk och myndigheter</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67973-2019</t>
        </is>
      </c>
      <c r="B3832" s="1" t="n">
        <v>43816</v>
      </c>
      <c r="C3832" s="1" t="n">
        <v>45227</v>
      </c>
      <c r="D3832" t="inlineStr">
        <is>
          <t>VÄSTRA GÖTALANDS LÄN</t>
        </is>
      </c>
      <c r="E3832" t="inlineStr">
        <is>
          <t>MARK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68068-2019</t>
        </is>
      </c>
      <c r="B3833" s="1" t="n">
        <v>43816</v>
      </c>
      <c r="C3833" s="1" t="n">
        <v>45227</v>
      </c>
      <c r="D3833" t="inlineStr">
        <is>
          <t>VÄSTRA GÖTALANDS LÄN</t>
        </is>
      </c>
      <c r="E3833" t="inlineStr">
        <is>
          <t>GULLSPÅNG</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67836-2019</t>
        </is>
      </c>
      <c r="B3834" s="1" t="n">
        <v>43816</v>
      </c>
      <c r="C3834" s="1" t="n">
        <v>45227</v>
      </c>
      <c r="D3834" t="inlineStr">
        <is>
          <t>VÄSTRA GÖTALANDS LÄN</t>
        </is>
      </c>
      <c r="E3834" t="inlineStr">
        <is>
          <t>ÅMÅL</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67868-2019</t>
        </is>
      </c>
      <c r="B3835" s="1" t="n">
        <v>43816</v>
      </c>
      <c r="C3835" s="1" t="n">
        <v>45227</v>
      </c>
      <c r="D3835" t="inlineStr">
        <is>
          <t>VÄSTRA GÖTALANDS LÄN</t>
        </is>
      </c>
      <c r="E3835" t="inlineStr">
        <is>
          <t>DALS-ED</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67890-2019</t>
        </is>
      </c>
      <c r="B3836" s="1" t="n">
        <v>43816</v>
      </c>
      <c r="C3836" s="1" t="n">
        <v>45227</v>
      </c>
      <c r="D3836" t="inlineStr">
        <is>
          <t>VÄSTRA GÖTALANDS LÄN</t>
        </is>
      </c>
      <c r="E3836" t="inlineStr">
        <is>
          <t>VÄNERSBORG</t>
        </is>
      </c>
      <c r="G3836" t="n">
        <v>4.4</v>
      </c>
      <c r="H3836" t="n">
        <v>0</v>
      </c>
      <c r="I3836" t="n">
        <v>0</v>
      </c>
      <c r="J3836" t="n">
        <v>0</v>
      </c>
      <c r="K3836" t="n">
        <v>0</v>
      </c>
      <c r="L3836" t="n">
        <v>0</v>
      </c>
      <c r="M3836" t="n">
        <v>0</v>
      </c>
      <c r="N3836" t="n">
        <v>0</v>
      </c>
      <c r="O3836" t="n">
        <v>0</v>
      </c>
      <c r="P3836" t="n">
        <v>0</v>
      </c>
      <c r="Q3836" t="n">
        <v>0</v>
      </c>
      <c r="R3836" s="2" t="inlineStr"/>
    </row>
    <row r="3837" ht="15" customHeight="1">
      <c r="A3837" t="inlineStr">
        <is>
          <t>A 67923-2019</t>
        </is>
      </c>
      <c r="B3837" s="1" t="n">
        <v>43816</v>
      </c>
      <c r="C3837" s="1" t="n">
        <v>45227</v>
      </c>
      <c r="D3837" t="inlineStr">
        <is>
          <t>VÄSTRA GÖTALANDS LÄN</t>
        </is>
      </c>
      <c r="E3837" t="inlineStr">
        <is>
          <t>SKARA</t>
        </is>
      </c>
      <c r="F3837" t="inlineStr">
        <is>
          <t>Övriga statliga verk och myndigheter</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68140-2019</t>
        </is>
      </c>
      <c r="B3838" s="1" t="n">
        <v>43817</v>
      </c>
      <c r="C3838" s="1" t="n">
        <v>45227</v>
      </c>
      <c r="D3838" t="inlineStr">
        <is>
          <t>VÄSTRA GÖTALANDS LÄN</t>
        </is>
      </c>
      <c r="E3838" t="inlineStr">
        <is>
          <t>BENGTSFORS</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68100-2019</t>
        </is>
      </c>
      <c r="B3839" s="1" t="n">
        <v>43817</v>
      </c>
      <c r="C3839" s="1" t="n">
        <v>45227</v>
      </c>
      <c r="D3839" t="inlineStr">
        <is>
          <t>VÄSTRA GÖTALANDS LÄN</t>
        </is>
      </c>
      <c r="E3839" t="inlineStr">
        <is>
          <t>SVENLJUNGA</t>
        </is>
      </c>
      <c r="F3839" t="inlineStr">
        <is>
          <t>Kyrkan</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68138-2019</t>
        </is>
      </c>
      <c r="B3840" s="1" t="n">
        <v>43817</v>
      </c>
      <c r="C3840" s="1" t="n">
        <v>45227</v>
      </c>
      <c r="D3840" t="inlineStr">
        <is>
          <t>VÄSTRA GÖTALANDS LÄN</t>
        </is>
      </c>
      <c r="E3840" t="inlineStr">
        <is>
          <t>BENGTSFORS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68256-2019</t>
        </is>
      </c>
      <c r="B3841" s="1" t="n">
        <v>43817</v>
      </c>
      <c r="C3841" s="1" t="n">
        <v>45227</v>
      </c>
      <c r="D3841" t="inlineStr">
        <is>
          <t>VÄSTRA GÖTALANDS LÄN</t>
        </is>
      </c>
      <c r="E3841" t="inlineStr">
        <is>
          <t>LILLA EDET</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68440-2019</t>
        </is>
      </c>
      <c r="B3842" s="1" t="n">
        <v>43818</v>
      </c>
      <c r="C3842" s="1" t="n">
        <v>45227</v>
      </c>
      <c r="D3842" t="inlineStr">
        <is>
          <t>VÄSTRA GÖTALANDS LÄN</t>
        </is>
      </c>
      <c r="E3842" t="inlineStr">
        <is>
          <t>TRANEMO</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68437-2019</t>
        </is>
      </c>
      <c r="B3843" s="1" t="n">
        <v>43818</v>
      </c>
      <c r="C3843" s="1" t="n">
        <v>45227</v>
      </c>
      <c r="D3843" t="inlineStr">
        <is>
          <t>VÄSTRA GÖTALANDS LÄN</t>
        </is>
      </c>
      <c r="E3843" t="inlineStr">
        <is>
          <t>BENGTSFORS</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68452-2019</t>
        </is>
      </c>
      <c r="B3844" s="1" t="n">
        <v>43818</v>
      </c>
      <c r="C3844" s="1" t="n">
        <v>45227</v>
      </c>
      <c r="D3844" t="inlineStr">
        <is>
          <t>VÄSTRA GÖTALANDS LÄN</t>
        </is>
      </c>
      <c r="E3844" t="inlineStr">
        <is>
          <t>SVENLJUNGA</t>
        </is>
      </c>
      <c r="F3844" t="inlineStr">
        <is>
          <t>Kyrkan</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968-2020</t>
        </is>
      </c>
      <c r="B3845" s="1" t="n">
        <v>43819</v>
      </c>
      <c r="C3845" s="1" t="n">
        <v>45227</v>
      </c>
      <c r="D3845" t="inlineStr">
        <is>
          <t>VÄSTRA GÖTALANDS LÄN</t>
        </is>
      </c>
      <c r="E3845" t="inlineStr">
        <is>
          <t>TIBRO</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68696-2019</t>
        </is>
      </c>
      <c r="B3846" s="1" t="n">
        <v>43819</v>
      </c>
      <c r="C3846" s="1" t="n">
        <v>45227</v>
      </c>
      <c r="D3846" t="inlineStr">
        <is>
          <t>VÄSTRA GÖTALANDS LÄN</t>
        </is>
      </c>
      <c r="E3846" t="inlineStr">
        <is>
          <t>GULLSPÅNG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68821-2019</t>
        </is>
      </c>
      <c r="B3847" s="1" t="n">
        <v>43819</v>
      </c>
      <c r="C3847" s="1" t="n">
        <v>45227</v>
      </c>
      <c r="D3847" t="inlineStr">
        <is>
          <t>VÄSTRA GÖTALANDS LÄN</t>
        </is>
      </c>
      <c r="E3847" t="inlineStr">
        <is>
          <t>TJÖRN</t>
        </is>
      </c>
      <c r="G3847" t="n">
        <v>4.6</v>
      </c>
      <c r="H3847" t="n">
        <v>0</v>
      </c>
      <c r="I3847" t="n">
        <v>0</v>
      </c>
      <c r="J3847" t="n">
        <v>0</v>
      </c>
      <c r="K3847" t="n">
        <v>0</v>
      </c>
      <c r="L3847" t="n">
        <v>0</v>
      </c>
      <c r="M3847" t="n">
        <v>0</v>
      </c>
      <c r="N3847" t="n">
        <v>0</v>
      </c>
      <c r="O3847" t="n">
        <v>0</v>
      </c>
      <c r="P3847" t="n">
        <v>0</v>
      </c>
      <c r="Q3847" t="n">
        <v>0</v>
      </c>
      <c r="R3847" s="2" t="inlineStr"/>
    </row>
    <row r="3848" ht="15" customHeight="1">
      <c r="A3848" t="inlineStr">
        <is>
          <t>A 1025-2020</t>
        </is>
      </c>
      <c r="B3848" s="1" t="n">
        <v>43819</v>
      </c>
      <c r="C3848" s="1" t="n">
        <v>45227</v>
      </c>
      <c r="D3848" t="inlineStr">
        <is>
          <t>VÄSTRA GÖTALANDS LÄN</t>
        </is>
      </c>
      <c r="E3848" t="inlineStr">
        <is>
          <t>TANUM</t>
        </is>
      </c>
      <c r="G3848" t="n">
        <v>3.7</v>
      </c>
      <c r="H3848" t="n">
        <v>0</v>
      </c>
      <c r="I3848" t="n">
        <v>0</v>
      </c>
      <c r="J3848" t="n">
        <v>0</v>
      </c>
      <c r="K3848" t="n">
        <v>0</v>
      </c>
      <c r="L3848" t="n">
        <v>0</v>
      </c>
      <c r="M3848" t="n">
        <v>0</v>
      </c>
      <c r="N3848" t="n">
        <v>0</v>
      </c>
      <c r="O3848" t="n">
        <v>0</v>
      </c>
      <c r="P3848" t="n">
        <v>0</v>
      </c>
      <c r="Q3848" t="n">
        <v>0</v>
      </c>
      <c r="R3848" s="2" t="inlineStr"/>
    </row>
    <row r="3849" ht="15" customHeight="1">
      <c r="A3849" t="inlineStr">
        <is>
          <t>A 68719-2019</t>
        </is>
      </c>
      <c r="B3849" s="1" t="n">
        <v>43819</v>
      </c>
      <c r="C3849" s="1" t="n">
        <v>45227</v>
      </c>
      <c r="D3849" t="inlineStr">
        <is>
          <t>VÄSTRA GÖTALANDS LÄN</t>
        </is>
      </c>
      <c r="E3849" t="inlineStr">
        <is>
          <t>HERRLJUNGA</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68697-2019</t>
        </is>
      </c>
      <c r="B3850" s="1" t="n">
        <v>43819</v>
      </c>
      <c r="C3850" s="1" t="n">
        <v>45227</v>
      </c>
      <c r="D3850" t="inlineStr">
        <is>
          <t>VÄSTRA GÖTALANDS LÄN</t>
        </is>
      </c>
      <c r="E3850" t="inlineStr">
        <is>
          <t>BENGTSFORS</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68739-2019</t>
        </is>
      </c>
      <c r="B3851" s="1" t="n">
        <v>43819</v>
      </c>
      <c r="C3851" s="1" t="n">
        <v>45227</v>
      </c>
      <c r="D3851" t="inlineStr">
        <is>
          <t>VÄSTRA GÖTALANDS LÄN</t>
        </is>
      </c>
      <c r="E3851" t="inlineStr">
        <is>
          <t>MARK</t>
        </is>
      </c>
      <c r="G3851" t="n">
        <v>10.3</v>
      </c>
      <c r="H3851" t="n">
        <v>0</v>
      </c>
      <c r="I3851" t="n">
        <v>0</v>
      </c>
      <c r="J3851" t="n">
        <v>0</v>
      </c>
      <c r="K3851" t="n">
        <v>0</v>
      </c>
      <c r="L3851" t="n">
        <v>0</v>
      </c>
      <c r="M3851" t="n">
        <v>0</v>
      </c>
      <c r="N3851" t="n">
        <v>0</v>
      </c>
      <c r="O3851" t="n">
        <v>0</v>
      </c>
      <c r="P3851" t="n">
        <v>0</v>
      </c>
      <c r="Q3851" t="n">
        <v>0</v>
      </c>
      <c r="R3851" s="2" t="inlineStr"/>
    </row>
    <row r="3852" ht="15" customHeight="1">
      <c r="A3852" t="inlineStr">
        <is>
          <t>A 68909-2019</t>
        </is>
      </c>
      <c r="B3852" s="1" t="n">
        <v>43822</v>
      </c>
      <c r="C3852" s="1" t="n">
        <v>45227</v>
      </c>
      <c r="D3852" t="inlineStr">
        <is>
          <t>VÄSTRA GÖTALANDS LÄN</t>
        </is>
      </c>
      <c r="E3852" t="inlineStr">
        <is>
          <t>ALINGSÅS</t>
        </is>
      </c>
      <c r="G3852" t="n">
        <v>7.3</v>
      </c>
      <c r="H3852" t="n">
        <v>0</v>
      </c>
      <c r="I3852" t="n">
        <v>0</v>
      </c>
      <c r="J3852" t="n">
        <v>0</v>
      </c>
      <c r="K3852" t="n">
        <v>0</v>
      </c>
      <c r="L3852" t="n">
        <v>0</v>
      </c>
      <c r="M3852" t="n">
        <v>0</v>
      </c>
      <c r="N3852" t="n">
        <v>0</v>
      </c>
      <c r="O3852" t="n">
        <v>0</v>
      </c>
      <c r="P3852" t="n">
        <v>0</v>
      </c>
      <c r="Q3852" t="n">
        <v>0</v>
      </c>
      <c r="R3852" s="2" t="inlineStr"/>
    </row>
    <row r="3853" ht="15" customHeight="1">
      <c r="A3853" t="inlineStr">
        <is>
          <t>A 68981-2019</t>
        </is>
      </c>
      <c r="B3853" s="1" t="n">
        <v>43824</v>
      </c>
      <c r="C3853" s="1" t="n">
        <v>45227</v>
      </c>
      <c r="D3853" t="inlineStr">
        <is>
          <t>VÄSTRA GÖTALANDS LÄN</t>
        </is>
      </c>
      <c r="E3853" t="inlineStr">
        <is>
          <t>VARA</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68978-2019</t>
        </is>
      </c>
      <c r="B3854" s="1" t="n">
        <v>43824</v>
      </c>
      <c r="C3854" s="1" t="n">
        <v>45227</v>
      </c>
      <c r="D3854" t="inlineStr">
        <is>
          <t>VÄSTRA GÖTALANDS LÄN</t>
        </is>
      </c>
      <c r="E3854" t="inlineStr">
        <is>
          <t>LILLA EDET</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1502-2020</t>
        </is>
      </c>
      <c r="B3855" s="1" t="n">
        <v>43826</v>
      </c>
      <c r="C3855" s="1" t="n">
        <v>45227</v>
      </c>
      <c r="D3855" t="inlineStr">
        <is>
          <t>VÄSTRA GÖTALANDS LÄN</t>
        </is>
      </c>
      <c r="E3855" t="inlineStr">
        <is>
          <t>HÄRRYDA</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1515-2020</t>
        </is>
      </c>
      <c r="B3856" s="1" t="n">
        <v>43826</v>
      </c>
      <c r="C3856" s="1" t="n">
        <v>45227</v>
      </c>
      <c r="D3856" t="inlineStr">
        <is>
          <t>VÄSTRA GÖTALANDS LÄN</t>
        </is>
      </c>
      <c r="E3856" t="inlineStr">
        <is>
          <t>STRÖMSTAD</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69001-2019</t>
        </is>
      </c>
      <c r="B3857" s="1" t="n">
        <v>43826</v>
      </c>
      <c r="C3857" s="1" t="n">
        <v>45227</v>
      </c>
      <c r="D3857" t="inlineStr">
        <is>
          <t>VÄSTRA GÖTALANDS LÄN</t>
        </is>
      </c>
      <c r="E3857" t="inlineStr">
        <is>
          <t>FALKÖPING</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1524-2020</t>
        </is>
      </c>
      <c r="B3858" s="1" t="n">
        <v>43826</v>
      </c>
      <c r="C3858" s="1" t="n">
        <v>45227</v>
      </c>
      <c r="D3858" t="inlineStr">
        <is>
          <t>VÄSTRA GÖTALANDS LÄN</t>
        </is>
      </c>
      <c r="E3858" t="inlineStr">
        <is>
          <t>FALKÖPING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69030-2019</t>
        </is>
      </c>
      <c r="B3859" s="1" t="n">
        <v>43826</v>
      </c>
      <c r="C3859" s="1" t="n">
        <v>45227</v>
      </c>
      <c r="D3859" t="inlineStr">
        <is>
          <t>VÄSTRA GÖTALANDS LÄN</t>
        </is>
      </c>
      <c r="E3859" t="inlineStr">
        <is>
          <t>LILLA EDET</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1617-2020</t>
        </is>
      </c>
      <c r="B3860" s="1" t="n">
        <v>43829</v>
      </c>
      <c r="C3860" s="1" t="n">
        <v>45227</v>
      </c>
      <c r="D3860" t="inlineStr">
        <is>
          <t>VÄSTRA GÖTALANDS LÄN</t>
        </is>
      </c>
      <c r="E3860" t="inlineStr">
        <is>
          <t>ULRICEHAMN</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69134-2019</t>
        </is>
      </c>
      <c r="B3861" s="1" t="n">
        <v>43829</v>
      </c>
      <c r="C3861" s="1" t="n">
        <v>45227</v>
      </c>
      <c r="D3861" t="inlineStr">
        <is>
          <t>VÄSTRA GÖTALANDS LÄN</t>
        </is>
      </c>
      <c r="E3861" t="inlineStr">
        <is>
          <t>VÄNERSBORG</t>
        </is>
      </c>
      <c r="F3861" t="inlineStr">
        <is>
          <t>Kommuner</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1608-2020</t>
        </is>
      </c>
      <c r="B3862" s="1" t="n">
        <v>43829</v>
      </c>
      <c r="C3862" s="1" t="n">
        <v>45227</v>
      </c>
      <c r="D3862" t="inlineStr">
        <is>
          <t>VÄSTRA GÖTALANDS LÄN</t>
        </is>
      </c>
      <c r="E3862" t="inlineStr">
        <is>
          <t>MUNKEDAL</t>
        </is>
      </c>
      <c r="G3862" t="n">
        <v>3.1</v>
      </c>
      <c r="H3862" t="n">
        <v>0</v>
      </c>
      <c r="I3862" t="n">
        <v>0</v>
      </c>
      <c r="J3862" t="n">
        <v>0</v>
      </c>
      <c r="K3862" t="n">
        <v>0</v>
      </c>
      <c r="L3862" t="n">
        <v>0</v>
      </c>
      <c r="M3862" t="n">
        <v>0</v>
      </c>
      <c r="N3862" t="n">
        <v>0</v>
      </c>
      <c r="O3862" t="n">
        <v>0</v>
      </c>
      <c r="P3862" t="n">
        <v>0</v>
      </c>
      <c r="Q3862" t="n">
        <v>0</v>
      </c>
      <c r="R3862" s="2" t="inlineStr"/>
    </row>
    <row r="3863" ht="15" customHeight="1">
      <c r="A3863" t="inlineStr">
        <is>
          <t>A 59-2020</t>
        </is>
      </c>
      <c r="B3863" s="1" t="n">
        <v>43832</v>
      </c>
      <c r="C3863" s="1" t="n">
        <v>45227</v>
      </c>
      <c r="D3863" t="inlineStr">
        <is>
          <t>VÄSTRA GÖTALANDS LÄN</t>
        </is>
      </c>
      <c r="E3863" t="inlineStr">
        <is>
          <t>VARA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1737-2020</t>
        </is>
      </c>
      <c r="B3864" s="1" t="n">
        <v>43832</v>
      </c>
      <c r="C3864" s="1" t="n">
        <v>45227</v>
      </c>
      <c r="D3864" t="inlineStr">
        <is>
          <t>VÄSTRA GÖTALANDS LÄN</t>
        </is>
      </c>
      <c r="E3864" t="inlineStr">
        <is>
          <t>GÖTENE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79-2020</t>
        </is>
      </c>
      <c r="B3865" s="1" t="n">
        <v>43832</v>
      </c>
      <c r="C3865" s="1" t="n">
        <v>45227</v>
      </c>
      <c r="D3865" t="inlineStr">
        <is>
          <t>VÄSTRA GÖTALANDS LÄN</t>
        </is>
      </c>
      <c r="E3865" t="inlineStr">
        <is>
          <t>MUNKEDAL</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1726-2020</t>
        </is>
      </c>
      <c r="B3866" s="1" t="n">
        <v>43832</v>
      </c>
      <c r="C3866" s="1" t="n">
        <v>45227</v>
      </c>
      <c r="D3866" t="inlineStr">
        <is>
          <t>VÄSTRA GÖTALANDS LÄN</t>
        </is>
      </c>
      <c r="E3866" t="inlineStr">
        <is>
          <t>GÖTENE</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15-2020</t>
        </is>
      </c>
      <c r="B3867" s="1" t="n">
        <v>43832</v>
      </c>
      <c r="C3867" s="1" t="n">
        <v>45227</v>
      </c>
      <c r="D3867" t="inlineStr">
        <is>
          <t>VÄSTRA GÖTALANDS LÄN</t>
        </is>
      </c>
      <c r="E3867" t="inlineStr">
        <is>
          <t>SVENLJUNGA</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83-2020</t>
        </is>
      </c>
      <c r="B3868" s="1" t="n">
        <v>43832</v>
      </c>
      <c r="C3868" s="1" t="n">
        <v>45227</v>
      </c>
      <c r="D3868" t="inlineStr">
        <is>
          <t>VÄSTRA GÖTALANDS LÄN</t>
        </is>
      </c>
      <c r="E3868" t="inlineStr">
        <is>
          <t>MUNKEDAL</t>
        </is>
      </c>
      <c r="G3868" t="n">
        <v>3.5</v>
      </c>
      <c r="H3868" t="n">
        <v>0</v>
      </c>
      <c r="I3868" t="n">
        <v>0</v>
      </c>
      <c r="J3868" t="n">
        <v>0</v>
      </c>
      <c r="K3868" t="n">
        <v>0</v>
      </c>
      <c r="L3868" t="n">
        <v>0</v>
      </c>
      <c r="M3868" t="n">
        <v>0</v>
      </c>
      <c r="N3868" t="n">
        <v>0</v>
      </c>
      <c r="O3868" t="n">
        <v>0</v>
      </c>
      <c r="P3868" t="n">
        <v>0</v>
      </c>
      <c r="Q3868" t="n">
        <v>0</v>
      </c>
      <c r="R3868" s="2" t="inlineStr"/>
    </row>
    <row r="3869" ht="15" customHeight="1">
      <c r="A3869" t="inlineStr">
        <is>
          <t>A 86-2020</t>
        </is>
      </c>
      <c r="B3869" s="1" t="n">
        <v>43832</v>
      </c>
      <c r="C3869" s="1" t="n">
        <v>45227</v>
      </c>
      <c r="D3869" t="inlineStr">
        <is>
          <t>VÄSTRA GÖTALANDS LÄN</t>
        </is>
      </c>
      <c r="E3869" t="inlineStr">
        <is>
          <t>HERRLJUNGA</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112-2020</t>
        </is>
      </c>
      <c r="B3870" s="1" t="n">
        <v>43832</v>
      </c>
      <c r="C3870" s="1" t="n">
        <v>45227</v>
      </c>
      <c r="D3870" t="inlineStr">
        <is>
          <t>VÄSTRA GÖTALANDS LÄN</t>
        </is>
      </c>
      <c r="E3870" t="inlineStr">
        <is>
          <t>STENUNGSUND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149-2020</t>
        </is>
      </c>
      <c r="B3871" s="1" t="n">
        <v>43833</v>
      </c>
      <c r="C3871" s="1" t="n">
        <v>45227</v>
      </c>
      <c r="D3871" t="inlineStr">
        <is>
          <t>VÄSTRA GÖTALANDS LÄN</t>
        </is>
      </c>
      <c r="E3871" t="inlineStr">
        <is>
          <t>TANUM</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155-2020</t>
        </is>
      </c>
      <c r="B3872" s="1" t="n">
        <v>43833</v>
      </c>
      <c r="C3872" s="1" t="n">
        <v>45227</v>
      </c>
      <c r="D3872" t="inlineStr">
        <is>
          <t>VÄSTRA GÖTALANDS LÄN</t>
        </is>
      </c>
      <c r="E3872" t="inlineStr">
        <is>
          <t>ULRICEHAMN</t>
        </is>
      </c>
      <c r="G3872" t="n">
        <v>5.2</v>
      </c>
      <c r="H3872" t="n">
        <v>0</v>
      </c>
      <c r="I3872" t="n">
        <v>0</v>
      </c>
      <c r="J3872" t="n">
        <v>0</v>
      </c>
      <c r="K3872" t="n">
        <v>0</v>
      </c>
      <c r="L3872" t="n">
        <v>0</v>
      </c>
      <c r="M3872" t="n">
        <v>0</v>
      </c>
      <c r="N3872" t="n">
        <v>0</v>
      </c>
      <c r="O3872" t="n">
        <v>0</v>
      </c>
      <c r="P3872" t="n">
        <v>0</v>
      </c>
      <c r="Q3872" t="n">
        <v>0</v>
      </c>
      <c r="R3872" s="2" t="inlineStr"/>
    </row>
    <row r="3873" ht="15" customHeight="1">
      <c r="A3873" t="inlineStr">
        <is>
          <t>A 190-2020</t>
        </is>
      </c>
      <c r="B3873" s="1" t="n">
        <v>43833</v>
      </c>
      <c r="C3873" s="1" t="n">
        <v>45227</v>
      </c>
      <c r="D3873" t="inlineStr">
        <is>
          <t>VÄSTRA GÖTALANDS LÄN</t>
        </is>
      </c>
      <c r="E3873" t="inlineStr">
        <is>
          <t>LERUM</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143-2020</t>
        </is>
      </c>
      <c r="B3874" s="1" t="n">
        <v>43833</v>
      </c>
      <c r="C3874" s="1" t="n">
        <v>45227</v>
      </c>
      <c r="D3874" t="inlineStr">
        <is>
          <t>VÄSTRA GÖTALANDS LÄN</t>
        </is>
      </c>
      <c r="E3874" t="inlineStr">
        <is>
          <t>MUNKEDAL</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188-2020</t>
        </is>
      </c>
      <c r="B3875" s="1" t="n">
        <v>43833</v>
      </c>
      <c r="C3875" s="1" t="n">
        <v>45227</v>
      </c>
      <c r="D3875" t="inlineStr">
        <is>
          <t>VÄSTRA GÖTALANDS LÄN</t>
        </is>
      </c>
      <c r="E3875" t="inlineStr">
        <is>
          <t>LERUM</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148-2020</t>
        </is>
      </c>
      <c r="B3876" s="1" t="n">
        <v>43833</v>
      </c>
      <c r="C3876" s="1" t="n">
        <v>45227</v>
      </c>
      <c r="D3876" t="inlineStr">
        <is>
          <t>VÄSTRA GÖTALANDS LÄN</t>
        </is>
      </c>
      <c r="E3876" t="inlineStr">
        <is>
          <t>LERUM</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178-2020</t>
        </is>
      </c>
      <c r="B3877" s="1" t="n">
        <v>43833</v>
      </c>
      <c r="C3877" s="1" t="n">
        <v>45227</v>
      </c>
      <c r="D3877" t="inlineStr">
        <is>
          <t>VÄSTRA GÖTALANDS LÄN</t>
        </is>
      </c>
      <c r="E3877" t="inlineStr">
        <is>
          <t>LERUM</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142-2020</t>
        </is>
      </c>
      <c r="B3878" s="1" t="n">
        <v>43833</v>
      </c>
      <c r="C3878" s="1" t="n">
        <v>45227</v>
      </c>
      <c r="D3878" t="inlineStr">
        <is>
          <t>VÄSTRA GÖTALANDS LÄN</t>
        </is>
      </c>
      <c r="E3878" t="inlineStr">
        <is>
          <t>MUNKEDAL</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185-2020</t>
        </is>
      </c>
      <c r="B3879" s="1" t="n">
        <v>43833</v>
      </c>
      <c r="C3879" s="1" t="n">
        <v>45227</v>
      </c>
      <c r="D3879" t="inlineStr">
        <is>
          <t>VÄSTRA GÖTALANDS LÄN</t>
        </is>
      </c>
      <c r="E3879" t="inlineStr">
        <is>
          <t>LERUM</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377-2020</t>
        </is>
      </c>
      <c r="B3880" s="1" t="n">
        <v>43837</v>
      </c>
      <c r="C3880" s="1" t="n">
        <v>45227</v>
      </c>
      <c r="D3880" t="inlineStr">
        <is>
          <t>VÄSTRA GÖTALANDS LÄN</t>
        </is>
      </c>
      <c r="E3880" t="inlineStr">
        <is>
          <t>ALE</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267-2020</t>
        </is>
      </c>
      <c r="B3881" s="1" t="n">
        <v>43837</v>
      </c>
      <c r="C3881" s="1" t="n">
        <v>45227</v>
      </c>
      <c r="D3881" t="inlineStr">
        <is>
          <t>VÄSTRA GÖTALANDS LÄN</t>
        </is>
      </c>
      <c r="E3881" t="inlineStr">
        <is>
          <t>SKÖVDE</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282-2020</t>
        </is>
      </c>
      <c r="B3882" s="1" t="n">
        <v>43837</v>
      </c>
      <c r="C3882" s="1" t="n">
        <v>45227</v>
      </c>
      <c r="D3882" t="inlineStr">
        <is>
          <t>VÄSTRA GÖTALANDS LÄN</t>
        </is>
      </c>
      <c r="E3882" t="inlineStr">
        <is>
          <t>TANUM</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355-2020</t>
        </is>
      </c>
      <c r="B3883" s="1" t="n">
        <v>43837</v>
      </c>
      <c r="C3883" s="1" t="n">
        <v>45227</v>
      </c>
      <c r="D3883" t="inlineStr">
        <is>
          <t>VÄSTRA GÖTALANDS LÄN</t>
        </is>
      </c>
      <c r="E3883" t="inlineStr">
        <is>
          <t>ALINGSÅS</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523-2020</t>
        </is>
      </c>
      <c r="B3884" s="1" t="n">
        <v>43837</v>
      </c>
      <c r="C3884" s="1" t="n">
        <v>45227</v>
      </c>
      <c r="D3884" t="inlineStr">
        <is>
          <t>VÄSTRA GÖTALANDS LÄN</t>
        </is>
      </c>
      <c r="E3884" t="inlineStr">
        <is>
          <t>TIDAHOLM</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269-2020</t>
        </is>
      </c>
      <c r="B3885" s="1" t="n">
        <v>43837</v>
      </c>
      <c r="C3885" s="1" t="n">
        <v>45227</v>
      </c>
      <c r="D3885" t="inlineStr">
        <is>
          <t>VÄSTRA GÖTALANDS LÄN</t>
        </is>
      </c>
      <c r="E3885" t="inlineStr">
        <is>
          <t>SKÖVDE</t>
        </is>
      </c>
      <c r="G3885" t="n">
        <v>8.9</v>
      </c>
      <c r="H3885" t="n">
        <v>0</v>
      </c>
      <c r="I3885" t="n">
        <v>0</v>
      </c>
      <c r="J3885" t="n">
        <v>0</v>
      </c>
      <c r="K3885" t="n">
        <v>0</v>
      </c>
      <c r="L3885" t="n">
        <v>0</v>
      </c>
      <c r="M3885" t="n">
        <v>0</v>
      </c>
      <c r="N3885" t="n">
        <v>0</v>
      </c>
      <c r="O3885" t="n">
        <v>0</v>
      </c>
      <c r="P3885" t="n">
        <v>0</v>
      </c>
      <c r="Q3885" t="n">
        <v>0</v>
      </c>
      <c r="R3885" s="2" t="inlineStr"/>
    </row>
    <row r="3886" ht="15" customHeight="1">
      <c r="A3886" t="inlineStr">
        <is>
          <t>A 324-2020</t>
        </is>
      </c>
      <c r="B3886" s="1" t="n">
        <v>43837</v>
      </c>
      <c r="C3886" s="1" t="n">
        <v>45227</v>
      </c>
      <c r="D3886" t="inlineStr">
        <is>
          <t>VÄSTRA GÖTALANDS LÄN</t>
        </is>
      </c>
      <c r="E3886" t="inlineStr">
        <is>
          <t>MELLERUD</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466-2020</t>
        </is>
      </c>
      <c r="B3887" s="1" t="n">
        <v>43837</v>
      </c>
      <c r="C3887" s="1" t="n">
        <v>45227</v>
      </c>
      <c r="D3887" t="inlineStr">
        <is>
          <t>VÄSTRA GÖTALANDS LÄN</t>
        </is>
      </c>
      <c r="E3887" t="inlineStr">
        <is>
          <t>MARK</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268-2020</t>
        </is>
      </c>
      <c r="B3888" s="1" t="n">
        <v>43837</v>
      </c>
      <c r="C3888" s="1" t="n">
        <v>45227</v>
      </c>
      <c r="D3888" t="inlineStr">
        <is>
          <t>VÄSTRA GÖTALANDS LÄN</t>
        </is>
      </c>
      <c r="E3888" t="inlineStr">
        <is>
          <t>SKÖVDE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506-2020</t>
        </is>
      </c>
      <c r="B3889" s="1" t="n">
        <v>43837</v>
      </c>
      <c r="C3889" s="1" t="n">
        <v>45227</v>
      </c>
      <c r="D3889" t="inlineStr">
        <is>
          <t>VÄSTRA GÖTALANDS LÄN</t>
        </is>
      </c>
      <c r="E3889" t="inlineStr">
        <is>
          <t>BENGTSFORS</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589-2020</t>
        </is>
      </c>
      <c r="B3890" s="1" t="n">
        <v>43838</v>
      </c>
      <c r="C3890" s="1" t="n">
        <v>45227</v>
      </c>
      <c r="D3890" t="inlineStr">
        <is>
          <t>VÄSTRA GÖTALANDS LÄN</t>
        </is>
      </c>
      <c r="E3890" t="inlineStr">
        <is>
          <t>MARK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657-2020</t>
        </is>
      </c>
      <c r="B3891" s="1" t="n">
        <v>43838</v>
      </c>
      <c r="C3891" s="1" t="n">
        <v>45227</v>
      </c>
      <c r="D3891" t="inlineStr">
        <is>
          <t>VÄSTRA GÖTALANDS LÄN</t>
        </is>
      </c>
      <c r="E3891" t="inlineStr">
        <is>
          <t>ÅMÅL</t>
        </is>
      </c>
      <c r="G3891" t="n">
        <v>1.2</v>
      </c>
      <c r="H3891" t="n">
        <v>0</v>
      </c>
      <c r="I3891" t="n">
        <v>0</v>
      </c>
      <c r="J3891" t="n">
        <v>0</v>
      </c>
      <c r="K3891" t="n">
        <v>0</v>
      </c>
      <c r="L3891" t="n">
        <v>0</v>
      </c>
      <c r="M3891" t="n">
        <v>0</v>
      </c>
      <c r="N3891" t="n">
        <v>0</v>
      </c>
      <c r="O3891" t="n">
        <v>0</v>
      </c>
      <c r="P3891" t="n">
        <v>0</v>
      </c>
      <c r="Q3891" t="n">
        <v>0</v>
      </c>
      <c r="R3891" s="2" t="inlineStr"/>
    </row>
    <row r="3892" ht="15" customHeight="1">
      <c r="A3892" t="inlineStr">
        <is>
          <t>A 669-2020</t>
        </is>
      </c>
      <c r="B3892" s="1" t="n">
        <v>43838</v>
      </c>
      <c r="C3892" s="1" t="n">
        <v>45227</v>
      </c>
      <c r="D3892" t="inlineStr">
        <is>
          <t>VÄSTRA GÖTALANDS LÄN</t>
        </is>
      </c>
      <c r="E3892" t="inlineStr">
        <is>
          <t>BENGTSFORS</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597-2020</t>
        </is>
      </c>
      <c r="B3893" s="1" t="n">
        <v>43838</v>
      </c>
      <c r="C3893" s="1" t="n">
        <v>45227</v>
      </c>
      <c r="D3893" t="inlineStr">
        <is>
          <t>VÄSTRA GÖTALANDS LÄN</t>
        </is>
      </c>
      <c r="E3893" t="inlineStr">
        <is>
          <t>GULLSPÅNG</t>
        </is>
      </c>
      <c r="G3893" t="n">
        <v>1.6</v>
      </c>
      <c r="H3893" t="n">
        <v>0</v>
      </c>
      <c r="I3893" t="n">
        <v>0</v>
      </c>
      <c r="J3893" t="n">
        <v>0</v>
      </c>
      <c r="K3893" t="n">
        <v>0</v>
      </c>
      <c r="L3893" t="n">
        <v>0</v>
      </c>
      <c r="M3893" t="n">
        <v>0</v>
      </c>
      <c r="N3893" t="n">
        <v>0</v>
      </c>
      <c r="O3893" t="n">
        <v>0</v>
      </c>
      <c r="P3893" t="n">
        <v>0</v>
      </c>
      <c r="Q3893" t="n">
        <v>0</v>
      </c>
      <c r="R3893" s="2" t="inlineStr"/>
    </row>
    <row r="3894" ht="15" customHeight="1">
      <c r="A3894" t="inlineStr">
        <is>
          <t>A 659-2020</t>
        </is>
      </c>
      <c r="B3894" s="1" t="n">
        <v>43838</v>
      </c>
      <c r="C3894" s="1" t="n">
        <v>45227</v>
      </c>
      <c r="D3894" t="inlineStr">
        <is>
          <t>VÄSTRA GÖTALANDS LÄN</t>
        </is>
      </c>
      <c r="E3894" t="inlineStr">
        <is>
          <t>ÅMÅL</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1950-2020</t>
        </is>
      </c>
      <c r="B3895" s="1" t="n">
        <v>43838</v>
      </c>
      <c r="C3895" s="1" t="n">
        <v>45227</v>
      </c>
      <c r="D3895" t="inlineStr">
        <is>
          <t>VÄSTRA GÖTALANDS LÄN</t>
        </is>
      </c>
      <c r="E3895" t="inlineStr">
        <is>
          <t>KARLSBORG</t>
        </is>
      </c>
      <c r="G3895" t="n">
        <v>22.8</v>
      </c>
      <c r="H3895" t="n">
        <v>0</v>
      </c>
      <c r="I3895" t="n">
        <v>0</v>
      </c>
      <c r="J3895" t="n">
        <v>0</v>
      </c>
      <c r="K3895" t="n">
        <v>0</v>
      </c>
      <c r="L3895" t="n">
        <v>0</v>
      </c>
      <c r="M3895" t="n">
        <v>0</v>
      </c>
      <c r="N3895" t="n">
        <v>0</v>
      </c>
      <c r="O3895" t="n">
        <v>0</v>
      </c>
      <c r="P3895" t="n">
        <v>0</v>
      </c>
      <c r="Q3895" t="n">
        <v>0</v>
      </c>
      <c r="R3895" s="2" t="inlineStr"/>
    </row>
    <row r="3896" ht="15" customHeight="1">
      <c r="A3896" t="inlineStr">
        <is>
          <t>A 983-2020</t>
        </is>
      </c>
      <c r="B3896" s="1" t="n">
        <v>43839</v>
      </c>
      <c r="C3896" s="1" t="n">
        <v>45227</v>
      </c>
      <c r="D3896" t="inlineStr">
        <is>
          <t>VÄSTRA GÖTALANDS LÄN</t>
        </is>
      </c>
      <c r="E3896" t="inlineStr">
        <is>
          <t>TIDAHOLM</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848-2020</t>
        </is>
      </c>
      <c r="B3897" s="1" t="n">
        <v>43839</v>
      </c>
      <c r="C3897" s="1" t="n">
        <v>45227</v>
      </c>
      <c r="D3897" t="inlineStr">
        <is>
          <t>VÄSTRA GÖTALANDS LÄN</t>
        </is>
      </c>
      <c r="E3897" t="inlineStr">
        <is>
          <t>TIDAHOLM</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979-2020</t>
        </is>
      </c>
      <c r="B3898" s="1" t="n">
        <v>43839</v>
      </c>
      <c r="C3898" s="1" t="n">
        <v>45227</v>
      </c>
      <c r="D3898" t="inlineStr">
        <is>
          <t>VÄSTRA GÖTALANDS LÄN</t>
        </is>
      </c>
      <c r="E3898" t="inlineStr">
        <is>
          <t>FALKÖPING</t>
        </is>
      </c>
      <c r="G3898" t="n">
        <v>127.7</v>
      </c>
      <c r="H3898" t="n">
        <v>0</v>
      </c>
      <c r="I3898" t="n">
        <v>0</v>
      </c>
      <c r="J3898" t="n">
        <v>0</v>
      </c>
      <c r="K3898" t="n">
        <v>0</v>
      </c>
      <c r="L3898" t="n">
        <v>0</v>
      </c>
      <c r="M3898" t="n">
        <v>0</v>
      </c>
      <c r="N3898" t="n">
        <v>0</v>
      </c>
      <c r="O3898" t="n">
        <v>0</v>
      </c>
      <c r="P3898" t="n">
        <v>0</v>
      </c>
      <c r="Q3898" t="n">
        <v>0</v>
      </c>
      <c r="R3898" s="2" t="inlineStr"/>
    </row>
    <row r="3899" ht="15" customHeight="1">
      <c r="A3899" t="inlineStr">
        <is>
          <t>A 1029-2020</t>
        </is>
      </c>
      <c r="B3899" s="1" t="n">
        <v>43839</v>
      </c>
      <c r="C3899" s="1" t="n">
        <v>45227</v>
      </c>
      <c r="D3899" t="inlineStr">
        <is>
          <t>VÄSTRA GÖTALANDS LÄN</t>
        </is>
      </c>
      <c r="E3899" t="inlineStr">
        <is>
          <t>MARIESTAD</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1040-2020</t>
        </is>
      </c>
      <c r="B3900" s="1" t="n">
        <v>43839</v>
      </c>
      <c r="C3900" s="1" t="n">
        <v>45227</v>
      </c>
      <c r="D3900" t="inlineStr">
        <is>
          <t>VÄSTRA GÖTALANDS LÄN</t>
        </is>
      </c>
      <c r="E3900" t="inlineStr">
        <is>
          <t>GULLSPÅNG</t>
        </is>
      </c>
      <c r="G3900" t="n">
        <v>1.3</v>
      </c>
      <c r="H3900" t="n">
        <v>0</v>
      </c>
      <c r="I3900" t="n">
        <v>0</v>
      </c>
      <c r="J3900" t="n">
        <v>0</v>
      </c>
      <c r="K3900" t="n">
        <v>0</v>
      </c>
      <c r="L3900" t="n">
        <v>0</v>
      </c>
      <c r="M3900" t="n">
        <v>0</v>
      </c>
      <c r="N3900" t="n">
        <v>0</v>
      </c>
      <c r="O3900" t="n">
        <v>0</v>
      </c>
      <c r="P3900" t="n">
        <v>0</v>
      </c>
      <c r="Q3900" t="n">
        <v>0</v>
      </c>
      <c r="R3900" s="2" t="inlineStr"/>
    </row>
    <row r="3901" ht="15" customHeight="1">
      <c r="A3901" t="inlineStr">
        <is>
          <t>A 2290-2020</t>
        </is>
      </c>
      <c r="B3901" s="1" t="n">
        <v>43839</v>
      </c>
      <c r="C3901" s="1" t="n">
        <v>45227</v>
      </c>
      <c r="D3901" t="inlineStr">
        <is>
          <t>VÄSTRA GÖTALANDS LÄN</t>
        </is>
      </c>
      <c r="E3901" t="inlineStr">
        <is>
          <t>BORÅS</t>
        </is>
      </c>
      <c r="G3901" t="n">
        <v>5.2</v>
      </c>
      <c r="H3901" t="n">
        <v>0</v>
      </c>
      <c r="I3901" t="n">
        <v>0</v>
      </c>
      <c r="J3901" t="n">
        <v>0</v>
      </c>
      <c r="K3901" t="n">
        <v>0</v>
      </c>
      <c r="L3901" t="n">
        <v>0</v>
      </c>
      <c r="M3901" t="n">
        <v>0</v>
      </c>
      <c r="N3901" t="n">
        <v>0</v>
      </c>
      <c r="O3901" t="n">
        <v>0</v>
      </c>
      <c r="P3901" t="n">
        <v>0</v>
      </c>
      <c r="Q3901" t="n">
        <v>0</v>
      </c>
      <c r="R3901" s="2" t="inlineStr"/>
    </row>
    <row r="3902" ht="15" customHeight="1">
      <c r="A3902" t="inlineStr">
        <is>
          <t>A 846-2020</t>
        </is>
      </c>
      <c r="B3902" s="1" t="n">
        <v>43839</v>
      </c>
      <c r="C3902" s="1" t="n">
        <v>45227</v>
      </c>
      <c r="D3902" t="inlineStr">
        <is>
          <t>VÄSTRA GÖTALANDS LÄN</t>
        </is>
      </c>
      <c r="E3902" t="inlineStr">
        <is>
          <t>HJO</t>
        </is>
      </c>
      <c r="F3902" t="inlineStr">
        <is>
          <t>Sveaskog</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881-2020</t>
        </is>
      </c>
      <c r="B3903" s="1" t="n">
        <v>43839</v>
      </c>
      <c r="C3903" s="1" t="n">
        <v>45227</v>
      </c>
      <c r="D3903" t="inlineStr">
        <is>
          <t>VÄSTRA GÖTALANDS LÄN</t>
        </is>
      </c>
      <c r="E3903" t="inlineStr">
        <is>
          <t>MARIESTAD</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865-2020</t>
        </is>
      </c>
      <c r="B3904" s="1" t="n">
        <v>43839</v>
      </c>
      <c r="C3904" s="1" t="n">
        <v>45227</v>
      </c>
      <c r="D3904" t="inlineStr">
        <is>
          <t>VÄSTRA GÖTALANDS LÄN</t>
        </is>
      </c>
      <c r="E3904" t="inlineStr">
        <is>
          <t>MARIESTAD</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1032-2020</t>
        </is>
      </c>
      <c r="B3905" s="1" t="n">
        <v>43839</v>
      </c>
      <c r="C3905" s="1" t="n">
        <v>45227</v>
      </c>
      <c r="D3905" t="inlineStr">
        <is>
          <t>VÄSTRA GÖTALANDS LÄN</t>
        </is>
      </c>
      <c r="E3905" t="inlineStr">
        <is>
          <t>TIBRO</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1044-2020</t>
        </is>
      </c>
      <c r="B3906" s="1" t="n">
        <v>43839</v>
      </c>
      <c r="C3906" s="1" t="n">
        <v>45227</v>
      </c>
      <c r="D3906" t="inlineStr">
        <is>
          <t>VÄSTRA GÖTALANDS LÄN</t>
        </is>
      </c>
      <c r="E3906" t="inlineStr">
        <is>
          <t>ALINGSÅS</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2294-2020</t>
        </is>
      </c>
      <c r="B3907" s="1" t="n">
        <v>43839</v>
      </c>
      <c r="C3907" s="1" t="n">
        <v>45227</v>
      </c>
      <c r="D3907" t="inlineStr">
        <is>
          <t>VÄSTRA GÖTALANDS LÄN</t>
        </is>
      </c>
      <c r="E3907" t="inlineStr">
        <is>
          <t>BORÅS</t>
        </is>
      </c>
      <c r="G3907" t="n">
        <v>14.1</v>
      </c>
      <c r="H3907" t="n">
        <v>0</v>
      </c>
      <c r="I3907" t="n">
        <v>0</v>
      </c>
      <c r="J3907" t="n">
        <v>0</v>
      </c>
      <c r="K3907" t="n">
        <v>0</v>
      </c>
      <c r="L3907" t="n">
        <v>0</v>
      </c>
      <c r="M3907" t="n">
        <v>0</v>
      </c>
      <c r="N3907" t="n">
        <v>0</v>
      </c>
      <c r="O3907" t="n">
        <v>0</v>
      </c>
      <c r="P3907" t="n">
        <v>0</v>
      </c>
      <c r="Q3907" t="n">
        <v>0</v>
      </c>
      <c r="R3907" s="2" t="inlineStr"/>
    </row>
    <row r="3908" ht="15" customHeight="1">
      <c r="A3908" t="inlineStr">
        <is>
          <t>A 1244-2020</t>
        </is>
      </c>
      <c r="B3908" s="1" t="n">
        <v>43840</v>
      </c>
      <c r="C3908" s="1" t="n">
        <v>45227</v>
      </c>
      <c r="D3908" t="inlineStr">
        <is>
          <t>VÄSTRA GÖTALANDS LÄN</t>
        </is>
      </c>
      <c r="E3908" t="inlineStr">
        <is>
          <t>ORUST</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1196-2020</t>
        </is>
      </c>
      <c r="B3909" s="1" t="n">
        <v>43840</v>
      </c>
      <c r="C3909" s="1" t="n">
        <v>45227</v>
      </c>
      <c r="D3909" t="inlineStr">
        <is>
          <t>VÄSTRA GÖTALANDS LÄN</t>
        </is>
      </c>
      <c r="E3909" t="inlineStr">
        <is>
          <t>ÅMÅL</t>
        </is>
      </c>
      <c r="G3909" t="n">
        <v>3.3</v>
      </c>
      <c r="H3909" t="n">
        <v>0</v>
      </c>
      <c r="I3909" t="n">
        <v>0</v>
      </c>
      <c r="J3909" t="n">
        <v>0</v>
      </c>
      <c r="K3909" t="n">
        <v>0</v>
      </c>
      <c r="L3909" t="n">
        <v>0</v>
      </c>
      <c r="M3909" t="n">
        <v>0</v>
      </c>
      <c r="N3909" t="n">
        <v>0</v>
      </c>
      <c r="O3909" t="n">
        <v>0</v>
      </c>
      <c r="P3909" t="n">
        <v>0</v>
      </c>
      <c r="Q3909" t="n">
        <v>0</v>
      </c>
      <c r="R3909" s="2" t="inlineStr"/>
    </row>
    <row r="3910" ht="15" customHeight="1">
      <c r="A3910" t="inlineStr">
        <is>
          <t>A 1240-2020</t>
        </is>
      </c>
      <c r="B3910" s="1" t="n">
        <v>43840</v>
      </c>
      <c r="C3910" s="1" t="n">
        <v>45227</v>
      </c>
      <c r="D3910" t="inlineStr">
        <is>
          <t>VÄSTRA GÖTALANDS LÄN</t>
        </is>
      </c>
      <c r="E3910" t="inlineStr">
        <is>
          <t>ORUST</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1255-2020</t>
        </is>
      </c>
      <c r="B3911" s="1" t="n">
        <v>43840</v>
      </c>
      <c r="C3911" s="1" t="n">
        <v>45227</v>
      </c>
      <c r="D3911" t="inlineStr">
        <is>
          <t>VÄSTRA GÖTALANDS LÄN</t>
        </is>
      </c>
      <c r="E3911" t="inlineStr">
        <is>
          <t>HJO</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2328-2020</t>
        </is>
      </c>
      <c r="B3912" s="1" t="n">
        <v>43840</v>
      </c>
      <c r="C3912" s="1" t="n">
        <v>45227</v>
      </c>
      <c r="D3912" t="inlineStr">
        <is>
          <t>VÄSTRA GÖTALANDS LÄN</t>
        </is>
      </c>
      <c r="E3912" t="inlineStr">
        <is>
          <t>LILLA EDET</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1274-2020</t>
        </is>
      </c>
      <c r="B3913" s="1" t="n">
        <v>43841</v>
      </c>
      <c r="C3913" s="1" t="n">
        <v>45227</v>
      </c>
      <c r="D3913" t="inlineStr">
        <is>
          <t>VÄSTRA GÖTALANDS LÄN</t>
        </is>
      </c>
      <c r="E3913" t="inlineStr">
        <is>
          <t>ÅMÅL</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1290-2020</t>
        </is>
      </c>
      <c r="B3914" s="1" t="n">
        <v>43842</v>
      </c>
      <c r="C3914" s="1" t="n">
        <v>45227</v>
      </c>
      <c r="D3914" t="inlineStr">
        <is>
          <t>VÄSTRA GÖTALANDS LÄN</t>
        </is>
      </c>
      <c r="E3914" t="inlineStr">
        <is>
          <t>BORÅS</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1285-2020</t>
        </is>
      </c>
      <c r="B3915" s="1" t="n">
        <v>43842</v>
      </c>
      <c r="C3915" s="1" t="n">
        <v>45227</v>
      </c>
      <c r="D3915" t="inlineStr">
        <is>
          <t>VÄSTRA GÖTALANDS LÄN</t>
        </is>
      </c>
      <c r="E3915" t="inlineStr">
        <is>
          <t>ULRICEHAMN</t>
        </is>
      </c>
      <c r="G3915" t="n">
        <v>2.4</v>
      </c>
      <c r="H3915" t="n">
        <v>0</v>
      </c>
      <c r="I3915" t="n">
        <v>0</v>
      </c>
      <c r="J3915" t="n">
        <v>0</v>
      </c>
      <c r="K3915" t="n">
        <v>0</v>
      </c>
      <c r="L3915" t="n">
        <v>0</v>
      </c>
      <c r="M3915" t="n">
        <v>0</v>
      </c>
      <c r="N3915" t="n">
        <v>0</v>
      </c>
      <c r="O3915" t="n">
        <v>0</v>
      </c>
      <c r="P3915" t="n">
        <v>0</v>
      </c>
      <c r="Q3915" t="n">
        <v>0</v>
      </c>
      <c r="R3915" s="2" t="inlineStr"/>
      <c r="U3915">
        <f>HYPERLINK("https://klasma.github.io/Logging_1491/knärot/A 1285-2020 karta knärot.png", "A 1285-2020")</f>
        <v/>
      </c>
      <c r="V3915">
        <f>HYPERLINK("https://klasma.github.io/Logging_1491/klagomål/A 1285-2020 FSC-klagomål.docx", "A 1285-2020")</f>
        <v/>
      </c>
      <c r="W3915">
        <f>HYPERLINK("https://klasma.github.io/Logging_1491/klagomålsmail/A 1285-2020 FSC-klagomål mail.docx", "A 1285-2020")</f>
        <v/>
      </c>
      <c r="X3915">
        <f>HYPERLINK("https://klasma.github.io/Logging_1491/tillsyn/A 1285-2020 tillsynsbegäran.docx", "A 1285-2020")</f>
        <v/>
      </c>
      <c r="Y3915">
        <f>HYPERLINK("https://klasma.github.io/Logging_1491/tillsynsmail/A 1285-2020 tillsynsbegäran mail.docx", "A 1285-2020")</f>
        <v/>
      </c>
    </row>
    <row r="3916" ht="15" customHeight="1">
      <c r="A3916" t="inlineStr">
        <is>
          <t>A 1369-2020</t>
        </is>
      </c>
      <c r="B3916" s="1" t="n">
        <v>43843</v>
      </c>
      <c r="C3916" s="1" t="n">
        <v>45227</v>
      </c>
      <c r="D3916" t="inlineStr">
        <is>
          <t>VÄSTRA GÖTALANDS LÄN</t>
        </is>
      </c>
      <c r="E3916" t="inlineStr">
        <is>
          <t>TJÖRN</t>
        </is>
      </c>
      <c r="G3916" t="n">
        <v>5</v>
      </c>
      <c r="H3916" t="n">
        <v>0</v>
      </c>
      <c r="I3916" t="n">
        <v>0</v>
      </c>
      <c r="J3916" t="n">
        <v>0</v>
      </c>
      <c r="K3916" t="n">
        <v>0</v>
      </c>
      <c r="L3916" t="n">
        <v>0</v>
      </c>
      <c r="M3916" t="n">
        <v>0</v>
      </c>
      <c r="N3916" t="n">
        <v>0</v>
      </c>
      <c r="O3916" t="n">
        <v>0</v>
      </c>
      <c r="P3916" t="n">
        <v>0</v>
      </c>
      <c r="Q3916" t="n">
        <v>0</v>
      </c>
      <c r="R3916" s="2" t="inlineStr"/>
    </row>
    <row r="3917" ht="15" customHeight="1">
      <c r="A3917" t="inlineStr">
        <is>
          <t>A 1521-2020</t>
        </is>
      </c>
      <c r="B3917" s="1" t="n">
        <v>43843</v>
      </c>
      <c r="C3917" s="1" t="n">
        <v>45227</v>
      </c>
      <c r="D3917" t="inlineStr">
        <is>
          <t>VÄSTRA GÖTALANDS LÄN</t>
        </is>
      </c>
      <c r="E3917" t="inlineStr">
        <is>
          <t>ALINGSÅS</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1374-2020</t>
        </is>
      </c>
      <c r="B3918" s="1" t="n">
        <v>43843</v>
      </c>
      <c r="C3918" s="1" t="n">
        <v>45227</v>
      </c>
      <c r="D3918" t="inlineStr">
        <is>
          <t>VÄSTRA GÖTALANDS LÄN</t>
        </is>
      </c>
      <c r="E3918" t="inlineStr">
        <is>
          <t>VARA</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1428-2020</t>
        </is>
      </c>
      <c r="B3919" s="1" t="n">
        <v>43843</v>
      </c>
      <c r="C3919" s="1" t="n">
        <v>45227</v>
      </c>
      <c r="D3919" t="inlineStr">
        <is>
          <t>VÄSTRA GÖTALANDS LÄN</t>
        </is>
      </c>
      <c r="E3919" t="inlineStr">
        <is>
          <t>VARA</t>
        </is>
      </c>
      <c r="G3919" t="n">
        <v>3.9</v>
      </c>
      <c r="H3919" t="n">
        <v>0</v>
      </c>
      <c r="I3919" t="n">
        <v>0</v>
      </c>
      <c r="J3919" t="n">
        <v>0</v>
      </c>
      <c r="K3919" t="n">
        <v>0</v>
      </c>
      <c r="L3919" t="n">
        <v>0</v>
      </c>
      <c r="M3919" t="n">
        <v>0</v>
      </c>
      <c r="N3919" t="n">
        <v>0</v>
      </c>
      <c r="O3919" t="n">
        <v>0</v>
      </c>
      <c r="P3919" t="n">
        <v>0</v>
      </c>
      <c r="Q3919" t="n">
        <v>0</v>
      </c>
      <c r="R3919" s="2" t="inlineStr"/>
    </row>
    <row r="3920" ht="15" customHeight="1">
      <c r="A3920" t="inlineStr">
        <is>
          <t>A 1846-2020</t>
        </is>
      </c>
      <c r="B3920" s="1" t="n">
        <v>43844</v>
      </c>
      <c r="C3920" s="1" t="n">
        <v>45227</v>
      </c>
      <c r="D3920" t="inlineStr">
        <is>
          <t>VÄSTRA GÖTALANDS LÄN</t>
        </is>
      </c>
      <c r="E3920" t="inlineStr">
        <is>
          <t>MARK</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1618-2020</t>
        </is>
      </c>
      <c r="B3921" s="1" t="n">
        <v>43844</v>
      </c>
      <c r="C3921" s="1" t="n">
        <v>45227</v>
      </c>
      <c r="D3921" t="inlineStr">
        <is>
          <t>VÄSTRA GÖTALANDS LÄN</t>
        </is>
      </c>
      <c r="E3921" t="inlineStr">
        <is>
          <t>GULLSPÅNG</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1785-2020</t>
        </is>
      </c>
      <c r="B3922" s="1" t="n">
        <v>43844</v>
      </c>
      <c r="C3922" s="1" t="n">
        <v>45227</v>
      </c>
      <c r="D3922" t="inlineStr">
        <is>
          <t>VÄSTRA GÖTALANDS LÄN</t>
        </is>
      </c>
      <c r="E3922" t="inlineStr">
        <is>
          <t>TANUM</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1835-2020</t>
        </is>
      </c>
      <c r="B3923" s="1" t="n">
        <v>43844</v>
      </c>
      <c r="C3923" s="1" t="n">
        <v>45227</v>
      </c>
      <c r="D3923" t="inlineStr">
        <is>
          <t>VÄSTRA GÖTALANDS LÄN</t>
        </is>
      </c>
      <c r="E3923" t="inlineStr">
        <is>
          <t>ALINGSÅS</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1592-2020</t>
        </is>
      </c>
      <c r="B3924" s="1" t="n">
        <v>43844</v>
      </c>
      <c r="C3924" s="1" t="n">
        <v>45227</v>
      </c>
      <c r="D3924" t="inlineStr">
        <is>
          <t>VÄSTRA GÖTALANDS LÄN</t>
        </is>
      </c>
      <c r="E3924" t="inlineStr">
        <is>
          <t>MARK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3267-2020</t>
        </is>
      </c>
      <c r="B3925" s="1" t="n">
        <v>43844</v>
      </c>
      <c r="C3925" s="1" t="n">
        <v>45227</v>
      </c>
      <c r="D3925" t="inlineStr">
        <is>
          <t>VÄSTRA GÖTALANDS LÄN</t>
        </is>
      </c>
      <c r="E3925" t="inlineStr">
        <is>
          <t>VÄNERSBORG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1588-2020</t>
        </is>
      </c>
      <c r="B3926" s="1" t="n">
        <v>43844</v>
      </c>
      <c r="C3926" s="1" t="n">
        <v>45227</v>
      </c>
      <c r="D3926" t="inlineStr">
        <is>
          <t>VÄSTRA GÖTALANDS LÄN</t>
        </is>
      </c>
      <c r="E3926" t="inlineStr">
        <is>
          <t>HJO</t>
        </is>
      </c>
      <c r="G3926" t="n">
        <v>1.9</v>
      </c>
      <c r="H3926" t="n">
        <v>0</v>
      </c>
      <c r="I3926" t="n">
        <v>0</v>
      </c>
      <c r="J3926" t="n">
        <v>0</v>
      </c>
      <c r="K3926" t="n">
        <v>0</v>
      </c>
      <c r="L3926" t="n">
        <v>0</v>
      </c>
      <c r="M3926" t="n">
        <v>0</v>
      </c>
      <c r="N3926" t="n">
        <v>0</v>
      </c>
      <c r="O3926" t="n">
        <v>0</v>
      </c>
      <c r="P3926" t="n">
        <v>0</v>
      </c>
      <c r="Q3926" t="n">
        <v>0</v>
      </c>
      <c r="R3926" s="2" t="inlineStr"/>
    </row>
    <row r="3927" ht="15" customHeight="1">
      <c r="A3927" t="inlineStr">
        <is>
          <t>A 2014-2020</t>
        </is>
      </c>
      <c r="B3927" s="1" t="n">
        <v>43845</v>
      </c>
      <c r="C3927" s="1" t="n">
        <v>45227</v>
      </c>
      <c r="D3927" t="inlineStr">
        <is>
          <t>VÄSTRA GÖTALANDS LÄN</t>
        </is>
      </c>
      <c r="E3927" t="inlineStr">
        <is>
          <t>LERUM</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2081-2020</t>
        </is>
      </c>
      <c r="B3928" s="1" t="n">
        <v>43845</v>
      </c>
      <c r="C3928" s="1" t="n">
        <v>45227</v>
      </c>
      <c r="D3928" t="inlineStr">
        <is>
          <t>VÄSTRA GÖTALANDS LÄN</t>
        </is>
      </c>
      <c r="E3928" t="inlineStr">
        <is>
          <t>HERRLJUNGA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1884-2020</t>
        </is>
      </c>
      <c r="B3929" s="1" t="n">
        <v>43845</v>
      </c>
      <c r="C3929" s="1" t="n">
        <v>45227</v>
      </c>
      <c r="D3929" t="inlineStr">
        <is>
          <t>VÄSTRA GÖTALANDS LÄN</t>
        </is>
      </c>
      <c r="E3929" t="inlineStr">
        <is>
          <t>LERUM</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1952-2020</t>
        </is>
      </c>
      <c r="B3930" s="1" t="n">
        <v>43845</v>
      </c>
      <c r="C3930" s="1" t="n">
        <v>45227</v>
      </c>
      <c r="D3930" t="inlineStr">
        <is>
          <t>VÄSTRA GÖTALANDS LÄN</t>
        </is>
      </c>
      <c r="E3930" t="inlineStr">
        <is>
          <t>TIDAHOLM</t>
        </is>
      </c>
      <c r="G3930" t="n">
        <v>1.2</v>
      </c>
      <c r="H3930" t="n">
        <v>0</v>
      </c>
      <c r="I3930" t="n">
        <v>0</v>
      </c>
      <c r="J3930" t="n">
        <v>0</v>
      </c>
      <c r="K3930" t="n">
        <v>0</v>
      </c>
      <c r="L3930" t="n">
        <v>0</v>
      </c>
      <c r="M3930" t="n">
        <v>0</v>
      </c>
      <c r="N3930" t="n">
        <v>0</v>
      </c>
      <c r="O3930" t="n">
        <v>0</v>
      </c>
      <c r="P3930" t="n">
        <v>0</v>
      </c>
      <c r="Q3930" t="n">
        <v>0</v>
      </c>
      <c r="R3930" s="2" t="inlineStr"/>
    </row>
    <row r="3931" ht="15" customHeight="1">
      <c r="A3931" t="inlineStr">
        <is>
          <t>A 2031-2020</t>
        </is>
      </c>
      <c r="B3931" s="1" t="n">
        <v>43845</v>
      </c>
      <c r="C3931" s="1" t="n">
        <v>45227</v>
      </c>
      <c r="D3931" t="inlineStr">
        <is>
          <t>VÄSTRA GÖTALANDS LÄN</t>
        </is>
      </c>
      <c r="E3931" t="inlineStr">
        <is>
          <t>LERUM</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2079-2020</t>
        </is>
      </c>
      <c r="B3932" s="1" t="n">
        <v>43845</v>
      </c>
      <c r="C3932" s="1" t="n">
        <v>45227</v>
      </c>
      <c r="D3932" t="inlineStr">
        <is>
          <t>VÄSTRA GÖTALANDS LÄN</t>
        </is>
      </c>
      <c r="E3932" t="inlineStr">
        <is>
          <t>HERRLJUNGA</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3616-2020</t>
        </is>
      </c>
      <c r="B3933" s="1" t="n">
        <v>43845</v>
      </c>
      <c r="C3933" s="1" t="n">
        <v>45227</v>
      </c>
      <c r="D3933" t="inlineStr">
        <is>
          <t>VÄSTRA GÖTALANDS LÄN</t>
        </is>
      </c>
      <c r="E3933" t="inlineStr">
        <is>
          <t>MARK</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1949-2020</t>
        </is>
      </c>
      <c r="B3934" s="1" t="n">
        <v>43845</v>
      </c>
      <c r="C3934" s="1" t="n">
        <v>45227</v>
      </c>
      <c r="D3934" t="inlineStr">
        <is>
          <t>VÄSTRA GÖTALANDS LÄN</t>
        </is>
      </c>
      <c r="E3934" t="inlineStr">
        <is>
          <t>ALINGSÅS</t>
        </is>
      </c>
      <c r="G3934" t="n">
        <v>5.6</v>
      </c>
      <c r="H3934" t="n">
        <v>0</v>
      </c>
      <c r="I3934" t="n">
        <v>0</v>
      </c>
      <c r="J3934" t="n">
        <v>0</v>
      </c>
      <c r="K3934" t="n">
        <v>0</v>
      </c>
      <c r="L3934" t="n">
        <v>0</v>
      </c>
      <c r="M3934" t="n">
        <v>0</v>
      </c>
      <c r="N3934" t="n">
        <v>0</v>
      </c>
      <c r="O3934" t="n">
        <v>0</v>
      </c>
      <c r="P3934" t="n">
        <v>0</v>
      </c>
      <c r="Q3934" t="n">
        <v>0</v>
      </c>
      <c r="R3934" s="2" t="inlineStr"/>
    </row>
    <row r="3935" ht="15" customHeight="1">
      <c r="A3935" t="inlineStr">
        <is>
          <t>A 2023-2020</t>
        </is>
      </c>
      <c r="B3935" s="1" t="n">
        <v>43845</v>
      </c>
      <c r="C3935" s="1" t="n">
        <v>45227</v>
      </c>
      <c r="D3935" t="inlineStr">
        <is>
          <t>VÄSTRA GÖTALANDS LÄN</t>
        </is>
      </c>
      <c r="E3935" t="inlineStr">
        <is>
          <t>LERUM</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2049-2020</t>
        </is>
      </c>
      <c r="B3936" s="1" t="n">
        <v>43845</v>
      </c>
      <c r="C3936" s="1" t="n">
        <v>45227</v>
      </c>
      <c r="D3936" t="inlineStr">
        <is>
          <t>VÄSTRA GÖTALANDS LÄN</t>
        </is>
      </c>
      <c r="E3936" t="inlineStr">
        <is>
          <t>TROLLHÄTTAN</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2034-2020</t>
        </is>
      </c>
      <c r="B3937" s="1" t="n">
        <v>43845</v>
      </c>
      <c r="C3937" s="1" t="n">
        <v>45227</v>
      </c>
      <c r="D3937" t="inlineStr">
        <is>
          <t>VÄSTRA GÖTALANDS LÄN</t>
        </is>
      </c>
      <c r="E3937" t="inlineStr">
        <is>
          <t>LERUM</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2249-2020</t>
        </is>
      </c>
      <c r="B3938" s="1" t="n">
        <v>43846</v>
      </c>
      <c r="C3938" s="1" t="n">
        <v>45227</v>
      </c>
      <c r="D3938" t="inlineStr">
        <is>
          <t>VÄSTRA GÖTALANDS LÄN</t>
        </is>
      </c>
      <c r="E3938" t="inlineStr">
        <is>
          <t>MARIESTAD</t>
        </is>
      </c>
      <c r="G3938" t="n">
        <v>5.1</v>
      </c>
      <c r="H3938" t="n">
        <v>0</v>
      </c>
      <c r="I3938" t="n">
        <v>0</v>
      </c>
      <c r="J3938" t="n">
        <v>0</v>
      </c>
      <c r="K3938" t="n">
        <v>0</v>
      </c>
      <c r="L3938" t="n">
        <v>0</v>
      </c>
      <c r="M3938" t="n">
        <v>0</v>
      </c>
      <c r="N3938" t="n">
        <v>0</v>
      </c>
      <c r="O3938" t="n">
        <v>0</v>
      </c>
      <c r="P3938" t="n">
        <v>0</v>
      </c>
      <c r="Q3938" t="n">
        <v>0</v>
      </c>
      <c r="R3938" s="2" t="inlineStr"/>
    </row>
    <row r="3939" ht="15" customHeight="1">
      <c r="A3939" t="inlineStr">
        <is>
          <t>A 2352-2020</t>
        </is>
      </c>
      <c r="B3939" s="1" t="n">
        <v>43846</v>
      </c>
      <c r="C3939" s="1" t="n">
        <v>45227</v>
      </c>
      <c r="D3939" t="inlineStr">
        <is>
          <t>VÄSTRA GÖTALANDS LÄN</t>
        </is>
      </c>
      <c r="E3939" t="inlineStr">
        <is>
          <t>GÖTENE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2156-2020</t>
        </is>
      </c>
      <c r="B3940" s="1" t="n">
        <v>43846</v>
      </c>
      <c r="C3940" s="1" t="n">
        <v>45227</v>
      </c>
      <c r="D3940" t="inlineStr">
        <is>
          <t>VÄSTRA GÖTALANDS LÄN</t>
        </is>
      </c>
      <c r="E3940" t="inlineStr">
        <is>
          <t>ÅMÅL</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2224-2020</t>
        </is>
      </c>
      <c r="B3941" s="1" t="n">
        <v>43846</v>
      </c>
      <c r="C3941" s="1" t="n">
        <v>45227</v>
      </c>
      <c r="D3941" t="inlineStr">
        <is>
          <t>VÄSTRA GÖTALANDS LÄN</t>
        </is>
      </c>
      <c r="E3941" t="inlineStr">
        <is>
          <t>TJÖRN</t>
        </is>
      </c>
      <c r="G3941" t="n">
        <v>2.4</v>
      </c>
      <c r="H3941" t="n">
        <v>0</v>
      </c>
      <c r="I3941" t="n">
        <v>0</v>
      </c>
      <c r="J3941" t="n">
        <v>0</v>
      </c>
      <c r="K3941" t="n">
        <v>0</v>
      </c>
      <c r="L3941" t="n">
        <v>0</v>
      </c>
      <c r="M3941" t="n">
        <v>0</v>
      </c>
      <c r="N3941" t="n">
        <v>0</v>
      </c>
      <c r="O3941" t="n">
        <v>0</v>
      </c>
      <c r="P3941" t="n">
        <v>0</v>
      </c>
      <c r="Q3941" t="n">
        <v>0</v>
      </c>
      <c r="R3941" s="2" t="inlineStr"/>
    </row>
    <row r="3942" ht="15" customHeight="1">
      <c r="A3942" t="inlineStr">
        <is>
          <t>A 2231-2020</t>
        </is>
      </c>
      <c r="B3942" s="1" t="n">
        <v>43846</v>
      </c>
      <c r="C3942" s="1" t="n">
        <v>45227</v>
      </c>
      <c r="D3942" t="inlineStr">
        <is>
          <t>VÄSTRA GÖTALANDS LÄN</t>
        </is>
      </c>
      <c r="E3942" t="inlineStr">
        <is>
          <t>MARK</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2245-2020</t>
        </is>
      </c>
      <c r="B3943" s="1" t="n">
        <v>43846</v>
      </c>
      <c r="C3943" s="1" t="n">
        <v>45227</v>
      </c>
      <c r="D3943" t="inlineStr">
        <is>
          <t>VÄSTRA GÖTALANDS LÄN</t>
        </is>
      </c>
      <c r="E3943" t="inlineStr">
        <is>
          <t>UDDEVALLA</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2257-2020</t>
        </is>
      </c>
      <c r="B3944" s="1" t="n">
        <v>43846</v>
      </c>
      <c r="C3944" s="1" t="n">
        <v>45227</v>
      </c>
      <c r="D3944" t="inlineStr">
        <is>
          <t>VÄSTRA GÖTALANDS LÄN</t>
        </is>
      </c>
      <c r="E3944" t="inlineStr">
        <is>
          <t>ALINGSÅS</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2300-2020</t>
        </is>
      </c>
      <c r="B3945" s="1" t="n">
        <v>43846</v>
      </c>
      <c r="C3945" s="1" t="n">
        <v>45227</v>
      </c>
      <c r="D3945" t="inlineStr">
        <is>
          <t>VÄSTRA GÖTALANDS LÄN</t>
        </is>
      </c>
      <c r="E3945" t="inlineStr">
        <is>
          <t>MELLERUD</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3908-2020</t>
        </is>
      </c>
      <c r="B3946" s="1" t="n">
        <v>43846</v>
      </c>
      <c r="C3946" s="1" t="n">
        <v>45227</v>
      </c>
      <c r="D3946" t="inlineStr">
        <is>
          <t>VÄSTRA GÖTALANDS LÄN</t>
        </is>
      </c>
      <c r="E3946" t="inlineStr">
        <is>
          <t>GULLSPÅNG</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2239-2020</t>
        </is>
      </c>
      <c r="B3947" s="1" t="n">
        <v>43846</v>
      </c>
      <c r="C3947" s="1" t="n">
        <v>45227</v>
      </c>
      <c r="D3947" t="inlineStr">
        <is>
          <t>VÄSTRA GÖTALANDS LÄN</t>
        </is>
      </c>
      <c r="E3947" t="inlineStr">
        <is>
          <t>TROLLHÄTTAN</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2312-2020</t>
        </is>
      </c>
      <c r="B3948" s="1" t="n">
        <v>43846</v>
      </c>
      <c r="C3948" s="1" t="n">
        <v>45227</v>
      </c>
      <c r="D3948" t="inlineStr">
        <is>
          <t>VÄSTRA GÖTALANDS LÄN</t>
        </is>
      </c>
      <c r="E3948" t="inlineStr">
        <is>
          <t>BENGTSFORS</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2148-2020</t>
        </is>
      </c>
      <c r="B3949" s="1" t="n">
        <v>43846</v>
      </c>
      <c r="C3949" s="1" t="n">
        <v>45227</v>
      </c>
      <c r="D3949" t="inlineStr">
        <is>
          <t>VÄSTRA GÖTALANDS LÄN</t>
        </is>
      </c>
      <c r="E3949" t="inlineStr">
        <is>
          <t>VÄNERSBORG</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2230-2020</t>
        </is>
      </c>
      <c r="B3950" s="1" t="n">
        <v>43846</v>
      </c>
      <c r="C3950" s="1" t="n">
        <v>45227</v>
      </c>
      <c r="D3950" t="inlineStr">
        <is>
          <t>VÄSTRA GÖTALANDS LÄN</t>
        </is>
      </c>
      <c r="E3950" t="inlineStr">
        <is>
          <t>UDDEVALLA</t>
        </is>
      </c>
      <c r="F3950" t="inlineStr">
        <is>
          <t>Kyrkan</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2242-2020</t>
        </is>
      </c>
      <c r="B3951" s="1" t="n">
        <v>43846</v>
      </c>
      <c r="C3951" s="1" t="n">
        <v>45227</v>
      </c>
      <c r="D3951" t="inlineStr">
        <is>
          <t>VÄSTRA GÖTALANDS LÄN</t>
        </is>
      </c>
      <c r="E3951" t="inlineStr">
        <is>
          <t>MARIESTAD</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2252-2020</t>
        </is>
      </c>
      <c r="B3952" s="1" t="n">
        <v>43846</v>
      </c>
      <c r="C3952" s="1" t="n">
        <v>45227</v>
      </c>
      <c r="D3952" t="inlineStr">
        <is>
          <t>VÄSTRA GÖTALANDS LÄN</t>
        </is>
      </c>
      <c r="E3952" t="inlineStr">
        <is>
          <t>MARIESTAD</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2299-2020</t>
        </is>
      </c>
      <c r="B3953" s="1" t="n">
        <v>43846</v>
      </c>
      <c r="C3953" s="1" t="n">
        <v>45227</v>
      </c>
      <c r="D3953" t="inlineStr">
        <is>
          <t>VÄSTRA GÖTALANDS LÄN</t>
        </is>
      </c>
      <c r="E3953" t="inlineStr">
        <is>
          <t>TIDAHOLM</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2322-2020</t>
        </is>
      </c>
      <c r="B3954" s="1" t="n">
        <v>43846</v>
      </c>
      <c r="C3954" s="1" t="n">
        <v>45227</v>
      </c>
      <c r="D3954" t="inlineStr">
        <is>
          <t>VÄSTRA GÖTALANDS LÄN</t>
        </is>
      </c>
      <c r="E3954" t="inlineStr">
        <is>
          <t>MARIESTAD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2338-2020</t>
        </is>
      </c>
      <c r="B3955" s="1" t="n">
        <v>43846</v>
      </c>
      <c r="C3955" s="1" t="n">
        <v>45227</v>
      </c>
      <c r="D3955" t="inlineStr">
        <is>
          <t>VÄSTRA GÖTALANDS LÄN</t>
        </is>
      </c>
      <c r="E3955" t="inlineStr">
        <is>
          <t>ULRICEHAMN</t>
        </is>
      </c>
      <c r="G3955" t="n">
        <v>4.2</v>
      </c>
      <c r="H3955" t="n">
        <v>0</v>
      </c>
      <c r="I3955" t="n">
        <v>0</v>
      </c>
      <c r="J3955" t="n">
        <v>0</v>
      </c>
      <c r="K3955" t="n">
        <v>0</v>
      </c>
      <c r="L3955" t="n">
        <v>0</v>
      </c>
      <c r="M3955" t="n">
        <v>0</v>
      </c>
      <c r="N3955" t="n">
        <v>0</v>
      </c>
      <c r="O3955" t="n">
        <v>0</v>
      </c>
      <c r="P3955" t="n">
        <v>0</v>
      </c>
      <c r="Q3955" t="n">
        <v>0</v>
      </c>
      <c r="R3955" s="2" t="inlineStr"/>
    </row>
    <row r="3956" ht="15" customHeight="1">
      <c r="A3956" t="inlineStr">
        <is>
          <t>A 2545-2020</t>
        </is>
      </c>
      <c r="B3956" s="1" t="n">
        <v>43847</v>
      </c>
      <c r="C3956" s="1" t="n">
        <v>45227</v>
      </c>
      <c r="D3956" t="inlineStr">
        <is>
          <t>VÄSTRA GÖTALANDS LÄN</t>
        </is>
      </c>
      <c r="E3956" t="inlineStr">
        <is>
          <t>BENGTSFORS</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2632-2020</t>
        </is>
      </c>
      <c r="B3957" s="1" t="n">
        <v>43847</v>
      </c>
      <c r="C3957" s="1" t="n">
        <v>45227</v>
      </c>
      <c r="D3957" t="inlineStr">
        <is>
          <t>VÄSTRA GÖTALANDS LÄN</t>
        </is>
      </c>
      <c r="E3957" t="inlineStr">
        <is>
          <t>ALINGSÅS</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4110-2020</t>
        </is>
      </c>
      <c r="B3958" s="1" t="n">
        <v>43847</v>
      </c>
      <c r="C3958" s="1" t="n">
        <v>45227</v>
      </c>
      <c r="D3958" t="inlineStr">
        <is>
          <t>VÄSTRA GÖTALANDS LÄN</t>
        </is>
      </c>
      <c r="E3958" t="inlineStr">
        <is>
          <t>TIDAHOLM</t>
        </is>
      </c>
      <c r="G3958" t="n">
        <v>9.699999999999999</v>
      </c>
      <c r="H3958" t="n">
        <v>0</v>
      </c>
      <c r="I3958" t="n">
        <v>0</v>
      </c>
      <c r="J3958" t="n">
        <v>0</v>
      </c>
      <c r="K3958" t="n">
        <v>0</v>
      </c>
      <c r="L3958" t="n">
        <v>0</v>
      </c>
      <c r="M3958" t="n">
        <v>0</v>
      </c>
      <c r="N3958" t="n">
        <v>0</v>
      </c>
      <c r="O3958" t="n">
        <v>0</v>
      </c>
      <c r="P3958" t="n">
        <v>0</v>
      </c>
      <c r="Q3958" t="n">
        <v>0</v>
      </c>
      <c r="R3958" s="2" t="inlineStr"/>
    </row>
    <row r="3959" ht="15" customHeight="1">
      <c r="A3959" t="inlineStr">
        <is>
          <t>A 2423-2020</t>
        </is>
      </c>
      <c r="B3959" s="1" t="n">
        <v>43847</v>
      </c>
      <c r="C3959" s="1" t="n">
        <v>45227</v>
      </c>
      <c r="D3959" t="inlineStr">
        <is>
          <t>VÄSTRA GÖTALANDS LÄN</t>
        </is>
      </c>
      <c r="E3959" t="inlineStr">
        <is>
          <t>KUNGÄLV</t>
        </is>
      </c>
      <c r="G3959" t="n">
        <v>5.6</v>
      </c>
      <c r="H3959" t="n">
        <v>0</v>
      </c>
      <c r="I3959" t="n">
        <v>0</v>
      </c>
      <c r="J3959" t="n">
        <v>0</v>
      </c>
      <c r="K3959" t="n">
        <v>0</v>
      </c>
      <c r="L3959" t="n">
        <v>0</v>
      </c>
      <c r="M3959" t="n">
        <v>0</v>
      </c>
      <c r="N3959" t="n">
        <v>0</v>
      </c>
      <c r="O3959" t="n">
        <v>0</v>
      </c>
      <c r="P3959" t="n">
        <v>0</v>
      </c>
      <c r="Q3959" t="n">
        <v>0</v>
      </c>
      <c r="R3959" s="2" t="inlineStr"/>
    </row>
    <row r="3960" ht="15" customHeight="1">
      <c r="A3960" t="inlineStr">
        <is>
          <t>A 2602-2020</t>
        </is>
      </c>
      <c r="B3960" s="1" t="n">
        <v>43847</v>
      </c>
      <c r="C3960" s="1" t="n">
        <v>45227</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4416-2020</t>
        </is>
      </c>
      <c r="B3961" s="1" t="n">
        <v>43847</v>
      </c>
      <c r="C3961" s="1" t="n">
        <v>45227</v>
      </c>
      <c r="D3961" t="inlineStr">
        <is>
          <t>VÄSTRA GÖTALANDS LÄN</t>
        </is>
      </c>
      <c r="E3961" t="inlineStr">
        <is>
          <t>VARA</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2662-2020</t>
        </is>
      </c>
      <c r="B3962" s="1" t="n">
        <v>43849</v>
      </c>
      <c r="C3962" s="1" t="n">
        <v>45227</v>
      </c>
      <c r="D3962" t="inlineStr">
        <is>
          <t>VÄSTRA GÖTALANDS LÄN</t>
        </is>
      </c>
      <c r="E3962" t="inlineStr">
        <is>
          <t>BORÅS</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2690-2020</t>
        </is>
      </c>
      <c r="B3963" s="1" t="n">
        <v>43850</v>
      </c>
      <c r="C3963" s="1" t="n">
        <v>45227</v>
      </c>
      <c r="D3963" t="inlineStr">
        <is>
          <t>VÄSTRA GÖTALANDS LÄN</t>
        </is>
      </c>
      <c r="E3963" t="inlineStr">
        <is>
          <t>GULLSPÅNG</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2843-2020</t>
        </is>
      </c>
      <c r="B3964" s="1" t="n">
        <v>43850</v>
      </c>
      <c r="C3964" s="1" t="n">
        <v>45227</v>
      </c>
      <c r="D3964" t="inlineStr">
        <is>
          <t>VÄSTRA GÖTALANDS LÄN</t>
        </is>
      </c>
      <c r="E3964" t="inlineStr">
        <is>
          <t>ALE</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2882-2020</t>
        </is>
      </c>
      <c r="B3965" s="1" t="n">
        <v>43850</v>
      </c>
      <c r="C3965" s="1" t="n">
        <v>45227</v>
      </c>
      <c r="D3965" t="inlineStr">
        <is>
          <t>VÄSTRA GÖTALANDS LÄN</t>
        </is>
      </c>
      <c r="E3965" t="inlineStr">
        <is>
          <t>BENGTSFORS</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2736-2020</t>
        </is>
      </c>
      <c r="B3966" s="1" t="n">
        <v>43850</v>
      </c>
      <c r="C3966" s="1" t="n">
        <v>45227</v>
      </c>
      <c r="D3966" t="inlineStr">
        <is>
          <t>VÄSTRA GÖTALANDS LÄN</t>
        </is>
      </c>
      <c r="E3966" t="inlineStr">
        <is>
          <t>MÖLNDAL</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2819-2020</t>
        </is>
      </c>
      <c r="B3967" s="1" t="n">
        <v>43850</v>
      </c>
      <c r="C3967" s="1" t="n">
        <v>45227</v>
      </c>
      <c r="D3967" t="inlineStr">
        <is>
          <t>VÄSTRA GÖTALANDS LÄN</t>
        </is>
      </c>
      <c r="E3967" t="inlineStr">
        <is>
          <t>FALKÖPING</t>
        </is>
      </c>
      <c r="G3967" t="n">
        <v>3.4</v>
      </c>
      <c r="H3967" t="n">
        <v>0</v>
      </c>
      <c r="I3967" t="n">
        <v>0</v>
      </c>
      <c r="J3967" t="n">
        <v>0</v>
      </c>
      <c r="K3967" t="n">
        <v>0</v>
      </c>
      <c r="L3967" t="n">
        <v>0</v>
      </c>
      <c r="M3967" t="n">
        <v>0</v>
      </c>
      <c r="N3967" t="n">
        <v>0</v>
      </c>
      <c r="O3967" t="n">
        <v>0</v>
      </c>
      <c r="P3967" t="n">
        <v>0</v>
      </c>
      <c r="Q3967" t="n">
        <v>0</v>
      </c>
      <c r="R3967" s="2" t="inlineStr"/>
    </row>
    <row r="3968" ht="15" customHeight="1">
      <c r="A3968" t="inlineStr">
        <is>
          <t>A 2981-2020</t>
        </is>
      </c>
      <c r="B3968" s="1" t="n">
        <v>43850</v>
      </c>
      <c r="C3968" s="1" t="n">
        <v>45227</v>
      </c>
      <c r="D3968" t="inlineStr">
        <is>
          <t>VÄSTRA GÖTALANDS LÄN</t>
        </is>
      </c>
      <c r="E3968" t="inlineStr">
        <is>
          <t>VÄNERSBORG</t>
        </is>
      </c>
      <c r="G3968" t="n">
        <v>5.9</v>
      </c>
      <c r="H3968" t="n">
        <v>0</v>
      </c>
      <c r="I3968" t="n">
        <v>0</v>
      </c>
      <c r="J3968" t="n">
        <v>0</v>
      </c>
      <c r="K3968" t="n">
        <v>0</v>
      </c>
      <c r="L3968" t="n">
        <v>0</v>
      </c>
      <c r="M3968" t="n">
        <v>0</v>
      </c>
      <c r="N3968" t="n">
        <v>0</v>
      </c>
      <c r="O3968" t="n">
        <v>0</v>
      </c>
      <c r="P3968" t="n">
        <v>0</v>
      </c>
      <c r="Q3968" t="n">
        <v>0</v>
      </c>
      <c r="R3968" s="2" t="inlineStr"/>
    </row>
    <row r="3969" ht="15" customHeight="1">
      <c r="A3969" t="inlineStr">
        <is>
          <t>A 2949-2020</t>
        </is>
      </c>
      <c r="B3969" s="1" t="n">
        <v>43850</v>
      </c>
      <c r="C3969" s="1" t="n">
        <v>45227</v>
      </c>
      <c r="D3969" t="inlineStr">
        <is>
          <t>VÄSTRA GÖTALANDS LÄN</t>
        </is>
      </c>
      <c r="E3969" t="inlineStr">
        <is>
          <t>FALKÖPING</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3040-2020</t>
        </is>
      </c>
      <c r="B3970" s="1" t="n">
        <v>43851</v>
      </c>
      <c r="C3970" s="1" t="n">
        <v>45227</v>
      </c>
      <c r="D3970" t="inlineStr">
        <is>
          <t>VÄSTRA GÖTALANDS LÄN</t>
        </is>
      </c>
      <c r="E3970" t="inlineStr">
        <is>
          <t>UDDEVALLA</t>
        </is>
      </c>
      <c r="G3970" t="n">
        <v>0.4</v>
      </c>
      <c r="H3970" t="n">
        <v>0</v>
      </c>
      <c r="I3970" t="n">
        <v>0</v>
      </c>
      <c r="J3970" t="n">
        <v>0</v>
      </c>
      <c r="K3970" t="n">
        <v>0</v>
      </c>
      <c r="L3970" t="n">
        <v>0</v>
      </c>
      <c r="M3970" t="n">
        <v>0</v>
      </c>
      <c r="N3970" t="n">
        <v>0</v>
      </c>
      <c r="O3970" t="n">
        <v>0</v>
      </c>
      <c r="P3970" t="n">
        <v>0</v>
      </c>
      <c r="Q3970" t="n">
        <v>0</v>
      </c>
      <c r="R3970" s="2" t="inlineStr"/>
    </row>
    <row r="3971" ht="15" customHeight="1">
      <c r="A3971" t="inlineStr">
        <is>
          <t>A 4638-2020</t>
        </is>
      </c>
      <c r="B3971" s="1" t="n">
        <v>43851</v>
      </c>
      <c r="C3971" s="1" t="n">
        <v>45227</v>
      </c>
      <c r="D3971" t="inlineStr">
        <is>
          <t>VÄSTRA GÖTALANDS LÄN</t>
        </is>
      </c>
      <c r="E3971" t="inlineStr">
        <is>
          <t>MUNKEDAL</t>
        </is>
      </c>
      <c r="F3971" t="inlineStr">
        <is>
          <t>Övriga Aktiebolag</t>
        </is>
      </c>
      <c r="G3971" t="n">
        <v>8.5</v>
      </c>
      <c r="H3971" t="n">
        <v>0</v>
      </c>
      <c r="I3971" t="n">
        <v>0</v>
      </c>
      <c r="J3971" t="n">
        <v>0</v>
      </c>
      <c r="K3971" t="n">
        <v>0</v>
      </c>
      <c r="L3971" t="n">
        <v>0</v>
      </c>
      <c r="M3971" t="n">
        <v>0</v>
      </c>
      <c r="N3971" t="n">
        <v>0</v>
      </c>
      <c r="O3971" t="n">
        <v>0</v>
      </c>
      <c r="P3971" t="n">
        <v>0</v>
      </c>
      <c r="Q3971" t="n">
        <v>0</v>
      </c>
      <c r="R3971" s="2" t="inlineStr"/>
    </row>
    <row r="3972" ht="15" customHeight="1">
      <c r="A3972" t="inlineStr">
        <is>
          <t>A 3107-2020</t>
        </is>
      </c>
      <c r="B3972" s="1" t="n">
        <v>43851</v>
      </c>
      <c r="C3972" s="1" t="n">
        <v>45227</v>
      </c>
      <c r="D3972" t="inlineStr">
        <is>
          <t>VÄSTRA GÖTALANDS LÄN</t>
        </is>
      </c>
      <c r="E3972" t="inlineStr">
        <is>
          <t>SKÖVDE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3041-2020</t>
        </is>
      </c>
      <c r="B3973" s="1" t="n">
        <v>43851</v>
      </c>
      <c r="C3973" s="1" t="n">
        <v>45227</v>
      </c>
      <c r="D3973" t="inlineStr">
        <is>
          <t>VÄSTRA GÖTALANDS LÄN</t>
        </is>
      </c>
      <c r="E3973" t="inlineStr">
        <is>
          <t>VÅRGÅRDA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3158-2020</t>
        </is>
      </c>
      <c r="B3974" s="1" t="n">
        <v>43851</v>
      </c>
      <c r="C3974" s="1" t="n">
        <v>45227</v>
      </c>
      <c r="D3974" t="inlineStr">
        <is>
          <t>VÄSTRA GÖTALANDS LÄN</t>
        </is>
      </c>
      <c r="E3974" t="inlineStr">
        <is>
          <t>BORÅS</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4601-2020</t>
        </is>
      </c>
      <c r="B3975" s="1" t="n">
        <v>43851</v>
      </c>
      <c r="C3975" s="1" t="n">
        <v>45227</v>
      </c>
      <c r="D3975" t="inlineStr">
        <is>
          <t>VÄSTRA GÖTALANDS LÄN</t>
        </is>
      </c>
      <c r="E3975" t="inlineStr">
        <is>
          <t>DALS-ED</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3273-2020</t>
        </is>
      </c>
      <c r="B3976" s="1" t="n">
        <v>43852</v>
      </c>
      <c r="C3976" s="1" t="n">
        <v>45227</v>
      </c>
      <c r="D3976" t="inlineStr">
        <is>
          <t>VÄSTRA GÖTALANDS LÄN</t>
        </is>
      </c>
      <c r="E3976" t="inlineStr">
        <is>
          <t>TÖREBODA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3398-2020</t>
        </is>
      </c>
      <c r="B3977" s="1" t="n">
        <v>43852</v>
      </c>
      <c r="C3977" s="1" t="n">
        <v>45227</v>
      </c>
      <c r="D3977" t="inlineStr">
        <is>
          <t>VÄSTRA GÖTALANDS LÄN</t>
        </is>
      </c>
      <c r="E3977" t="inlineStr">
        <is>
          <t>FÄRGELANDA</t>
        </is>
      </c>
      <c r="G3977" t="n">
        <v>4.5</v>
      </c>
      <c r="H3977" t="n">
        <v>0</v>
      </c>
      <c r="I3977" t="n">
        <v>0</v>
      </c>
      <c r="J3977" t="n">
        <v>0</v>
      </c>
      <c r="K3977" t="n">
        <v>0</v>
      </c>
      <c r="L3977" t="n">
        <v>0</v>
      </c>
      <c r="M3977" t="n">
        <v>0</v>
      </c>
      <c r="N3977" t="n">
        <v>0</v>
      </c>
      <c r="O3977" t="n">
        <v>0</v>
      </c>
      <c r="P3977" t="n">
        <v>0</v>
      </c>
      <c r="Q3977" t="n">
        <v>0</v>
      </c>
      <c r="R3977" s="2" t="inlineStr"/>
    </row>
    <row r="3978" ht="15" customHeight="1">
      <c r="A3978" t="inlineStr">
        <is>
          <t>A 4572-2020</t>
        </is>
      </c>
      <c r="B3978" s="1" t="n">
        <v>43852</v>
      </c>
      <c r="C3978" s="1" t="n">
        <v>45227</v>
      </c>
      <c r="D3978" t="inlineStr">
        <is>
          <t>VÄSTRA GÖTALANDS LÄN</t>
        </is>
      </c>
      <c r="E3978" t="inlineStr">
        <is>
          <t>FALKÖPING</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4838-2020</t>
        </is>
      </c>
      <c r="B3979" s="1" t="n">
        <v>43852</v>
      </c>
      <c r="C3979" s="1" t="n">
        <v>45227</v>
      </c>
      <c r="D3979" t="inlineStr">
        <is>
          <t>VÄSTRA GÖTALANDS LÄN</t>
        </is>
      </c>
      <c r="E3979" t="inlineStr">
        <is>
          <t>FALKÖPING</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4913-2020</t>
        </is>
      </c>
      <c r="B3980" s="1" t="n">
        <v>43852</v>
      </c>
      <c r="C3980" s="1" t="n">
        <v>45227</v>
      </c>
      <c r="D3980" t="inlineStr">
        <is>
          <t>VÄSTRA GÖTALANDS LÄN</t>
        </is>
      </c>
      <c r="E3980" t="inlineStr">
        <is>
          <t>HERRLJUNGA</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3275-2020</t>
        </is>
      </c>
      <c r="B3981" s="1" t="n">
        <v>43852</v>
      </c>
      <c r="C3981" s="1" t="n">
        <v>45227</v>
      </c>
      <c r="D3981" t="inlineStr">
        <is>
          <t>VÄSTRA GÖTALANDS LÄN</t>
        </is>
      </c>
      <c r="E3981" t="inlineStr">
        <is>
          <t>MARIESTAD</t>
        </is>
      </c>
      <c r="F3981" t="inlineStr">
        <is>
          <t>Sveaskog</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3345-2020</t>
        </is>
      </c>
      <c r="B3982" s="1" t="n">
        <v>43852</v>
      </c>
      <c r="C3982" s="1" t="n">
        <v>45227</v>
      </c>
      <c r="D3982" t="inlineStr">
        <is>
          <t>VÄSTRA GÖTALANDS LÄN</t>
        </is>
      </c>
      <c r="E3982" t="inlineStr">
        <is>
          <t>FÄRGELANDA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3446-2020</t>
        </is>
      </c>
      <c r="B3983" s="1" t="n">
        <v>43852</v>
      </c>
      <c r="C3983" s="1" t="n">
        <v>45227</v>
      </c>
      <c r="D3983" t="inlineStr">
        <is>
          <t>VÄSTRA GÖTALANDS LÄN</t>
        </is>
      </c>
      <c r="E3983" t="inlineStr">
        <is>
          <t>FÄRGELANDA</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4580-2020</t>
        </is>
      </c>
      <c r="B3984" s="1" t="n">
        <v>43852</v>
      </c>
      <c r="C3984" s="1" t="n">
        <v>45227</v>
      </c>
      <c r="D3984" t="inlineStr">
        <is>
          <t>VÄSTRA GÖTALANDS LÄN</t>
        </is>
      </c>
      <c r="E3984" t="inlineStr">
        <is>
          <t>FALKÖPING</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4766-2020</t>
        </is>
      </c>
      <c r="B3985" s="1" t="n">
        <v>43852</v>
      </c>
      <c r="C3985" s="1" t="n">
        <v>45227</v>
      </c>
      <c r="D3985" t="inlineStr">
        <is>
          <t>VÄSTRA GÖTALANDS LÄN</t>
        </is>
      </c>
      <c r="E3985" t="inlineStr">
        <is>
          <t>FALKÖPING</t>
        </is>
      </c>
      <c r="G3985" t="n">
        <v>3.2</v>
      </c>
      <c r="H3985" t="n">
        <v>0</v>
      </c>
      <c r="I3985" t="n">
        <v>0</v>
      </c>
      <c r="J3985" t="n">
        <v>0</v>
      </c>
      <c r="K3985" t="n">
        <v>0</v>
      </c>
      <c r="L3985" t="n">
        <v>0</v>
      </c>
      <c r="M3985" t="n">
        <v>0</v>
      </c>
      <c r="N3985" t="n">
        <v>0</v>
      </c>
      <c r="O3985" t="n">
        <v>0</v>
      </c>
      <c r="P3985" t="n">
        <v>0</v>
      </c>
      <c r="Q3985" t="n">
        <v>0</v>
      </c>
      <c r="R3985" s="2" t="inlineStr"/>
    </row>
    <row r="3986" ht="15" customHeight="1">
      <c r="A3986" t="inlineStr">
        <is>
          <t>A 4843-2020</t>
        </is>
      </c>
      <c r="B3986" s="1" t="n">
        <v>43852</v>
      </c>
      <c r="C3986" s="1" t="n">
        <v>45227</v>
      </c>
      <c r="D3986" t="inlineStr">
        <is>
          <t>VÄSTRA GÖTALANDS LÄN</t>
        </is>
      </c>
      <c r="E3986" t="inlineStr">
        <is>
          <t>FALKÖPING</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4861-2020</t>
        </is>
      </c>
      <c r="B3987" s="1" t="n">
        <v>43852</v>
      </c>
      <c r="C3987" s="1" t="n">
        <v>45227</v>
      </c>
      <c r="D3987" t="inlineStr">
        <is>
          <t>VÄSTRA GÖTALANDS LÄN</t>
        </is>
      </c>
      <c r="E3987" t="inlineStr">
        <is>
          <t>TIDAHOLM</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4924-2020</t>
        </is>
      </c>
      <c r="B3988" s="1" t="n">
        <v>43852</v>
      </c>
      <c r="C3988" s="1" t="n">
        <v>45227</v>
      </c>
      <c r="D3988" t="inlineStr">
        <is>
          <t>VÄSTRA GÖTALANDS LÄN</t>
        </is>
      </c>
      <c r="E3988" t="inlineStr">
        <is>
          <t>FALKÖPING</t>
        </is>
      </c>
      <c r="G3988" t="n">
        <v>7.3</v>
      </c>
      <c r="H3988" t="n">
        <v>0</v>
      </c>
      <c r="I3988" t="n">
        <v>0</v>
      </c>
      <c r="J3988" t="n">
        <v>0</v>
      </c>
      <c r="K3988" t="n">
        <v>0</v>
      </c>
      <c r="L3988" t="n">
        <v>0</v>
      </c>
      <c r="M3988" t="n">
        <v>0</v>
      </c>
      <c r="N3988" t="n">
        <v>0</v>
      </c>
      <c r="O3988" t="n">
        <v>0</v>
      </c>
      <c r="P3988" t="n">
        <v>0</v>
      </c>
      <c r="Q3988" t="n">
        <v>0</v>
      </c>
      <c r="R3988" s="2" t="inlineStr"/>
    </row>
    <row r="3989" ht="15" customHeight="1">
      <c r="A3989" t="inlineStr">
        <is>
          <t>A 3269-2020</t>
        </is>
      </c>
      <c r="B3989" s="1" t="n">
        <v>43852</v>
      </c>
      <c r="C3989" s="1" t="n">
        <v>45227</v>
      </c>
      <c r="D3989" t="inlineStr">
        <is>
          <t>VÄSTRA GÖTALANDS LÄN</t>
        </is>
      </c>
      <c r="E3989" t="inlineStr">
        <is>
          <t>TÖREBODA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3342-2020</t>
        </is>
      </c>
      <c r="B3990" s="1" t="n">
        <v>43852</v>
      </c>
      <c r="C3990" s="1" t="n">
        <v>45227</v>
      </c>
      <c r="D3990" t="inlineStr">
        <is>
          <t>VÄSTRA GÖTALANDS LÄN</t>
        </is>
      </c>
      <c r="E3990" t="inlineStr">
        <is>
          <t>GÖTENE</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4620-2020</t>
        </is>
      </c>
      <c r="B3991" s="1" t="n">
        <v>43852</v>
      </c>
      <c r="C3991" s="1" t="n">
        <v>45227</v>
      </c>
      <c r="D3991" t="inlineStr">
        <is>
          <t>VÄSTRA GÖTALANDS LÄN</t>
        </is>
      </c>
      <c r="E3991" t="inlineStr">
        <is>
          <t>FALKÖPING</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4820-2020</t>
        </is>
      </c>
      <c r="B3992" s="1" t="n">
        <v>43852</v>
      </c>
      <c r="C3992" s="1" t="n">
        <v>45227</v>
      </c>
      <c r="D3992" t="inlineStr">
        <is>
          <t>VÄSTRA GÖTALANDS LÄN</t>
        </is>
      </c>
      <c r="E3992" t="inlineStr">
        <is>
          <t>FALKÖPING</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4874-2020</t>
        </is>
      </c>
      <c r="B3993" s="1" t="n">
        <v>43852</v>
      </c>
      <c r="C3993" s="1" t="n">
        <v>45227</v>
      </c>
      <c r="D3993" t="inlineStr">
        <is>
          <t>VÄSTRA GÖTALANDS LÄN</t>
        </is>
      </c>
      <c r="E3993" t="inlineStr">
        <is>
          <t>VARA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3366-2020</t>
        </is>
      </c>
      <c r="B3994" s="1" t="n">
        <v>43852</v>
      </c>
      <c r="C3994" s="1" t="n">
        <v>45227</v>
      </c>
      <c r="D3994" t="inlineStr">
        <is>
          <t>VÄSTRA GÖTALANDS LÄN</t>
        </is>
      </c>
      <c r="E3994" t="inlineStr">
        <is>
          <t>GULLSPÅNG</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4591-2020</t>
        </is>
      </c>
      <c r="B3995" s="1" t="n">
        <v>43852</v>
      </c>
      <c r="C3995" s="1" t="n">
        <v>45227</v>
      </c>
      <c r="D3995" t="inlineStr">
        <is>
          <t>VÄSTRA GÖTALANDS LÄN</t>
        </is>
      </c>
      <c r="E3995" t="inlineStr">
        <is>
          <t>FALKÖPING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4770-2020</t>
        </is>
      </c>
      <c r="B3996" s="1" t="n">
        <v>43852</v>
      </c>
      <c r="C3996" s="1" t="n">
        <v>45227</v>
      </c>
      <c r="D3996" t="inlineStr">
        <is>
          <t>VÄSTRA GÖTALANDS LÄN</t>
        </is>
      </c>
      <c r="E3996" t="inlineStr">
        <is>
          <t>TIDAHOLM</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4844-2020</t>
        </is>
      </c>
      <c r="B3997" s="1" t="n">
        <v>43852</v>
      </c>
      <c r="C3997" s="1" t="n">
        <v>45227</v>
      </c>
      <c r="D3997" t="inlineStr">
        <is>
          <t>VÄSTRA GÖTALANDS LÄN</t>
        </is>
      </c>
      <c r="E3997" t="inlineStr">
        <is>
          <t>VARA</t>
        </is>
      </c>
      <c r="G3997" t="n">
        <v>1.6</v>
      </c>
      <c r="H3997" t="n">
        <v>0</v>
      </c>
      <c r="I3997" t="n">
        <v>0</v>
      </c>
      <c r="J3997" t="n">
        <v>0</v>
      </c>
      <c r="K3997" t="n">
        <v>0</v>
      </c>
      <c r="L3997" t="n">
        <v>0</v>
      </c>
      <c r="M3997" t="n">
        <v>0</v>
      </c>
      <c r="N3997" t="n">
        <v>0</v>
      </c>
      <c r="O3997" t="n">
        <v>0</v>
      </c>
      <c r="P3997" t="n">
        <v>0</v>
      </c>
      <c r="Q3997" t="n">
        <v>0</v>
      </c>
      <c r="R3997" s="2" t="inlineStr"/>
    </row>
    <row r="3998" ht="15" customHeight="1">
      <c r="A3998" t="inlineStr">
        <is>
          <t>A 3582-2020</t>
        </is>
      </c>
      <c r="B3998" s="1" t="n">
        <v>43853</v>
      </c>
      <c r="C3998" s="1" t="n">
        <v>45227</v>
      </c>
      <c r="D3998" t="inlineStr">
        <is>
          <t>VÄSTRA GÖTALANDS LÄN</t>
        </is>
      </c>
      <c r="E3998" t="inlineStr">
        <is>
          <t>SKARA</t>
        </is>
      </c>
      <c r="G3998" t="n">
        <v>4.1</v>
      </c>
      <c r="H3998" t="n">
        <v>0</v>
      </c>
      <c r="I3998" t="n">
        <v>0</v>
      </c>
      <c r="J3998" t="n">
        <v>0</v>
      </c>
      <c r="K3998" t="n">
        <v>0</v>
      </c>
      <c r="L3998" t="n">
        <v>0</v>
      </c>
      <c r="M3998" t="n">
        <v>0</v>
      </c>
      <c r="N3998" t="n">
        <v>0</v>
      </c>
      <c r="O3998" t="n">
        <v>0</v>
      </c>
      <c r="P3998" t="n">
        <v>0</v>
      </c>
      <c r="Q3998" t="n">
        <v>0</v>
      </c>
      <c r="R3998" s="2" t="inlineStr"/>
    </row>
    <row r="3999" ht="15" customHeight="1">
      <c r="A3999" t="inlineStr">
        <is>
          <t>A 3593-2020</t>
        </is>
      </c>
      <c r="B3999" s="1" t="n">
        <v>43853</v>
      </c>
      <c r="C3999" s="1" t="n">
        <v>45227</v>
      </c>
      <c r="D3999" t="inlineStr">
        <is>
          <t>VÄSTRA GÖTALANDS LÄN</t>
        </is>
      </c>
      <c r="E3999" t="inlineStr">
        <is>
          <t>SKARA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3627-2020</t>
        </is>
      </c>
      <c r="B4000" s="1" t="n">
        <v>43853</v>
      </c>
      <c r="C4000" s="1" t="n">
        <v>45227</v>
      </c>
      <c r="D4000" t="inlineStr">
        <is>
          <t>VÄSTRA GÖTALANDS LÄN</t>
        </is>
      </c>
      <c r="E4000" t="inlineStr">
        <is>
          <t>FALKÖPING</t>
        </is>
      </c>
      <c r="F4000" t="inlineStr">
        <is>
          <t>Kommuner</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3584-2020</t>
        </is>
      </c>
      <c r="B4001" s="1" t="n">
        <v>43853</v>
      </c>
      <c r="C4001" s="1" t="n">
        <v>45227</v>
      </c>
      <c r="D4001" t="inlineStr">
        <is>
          <t>VÄSTRA GÖTALANDS LÄN</t>
        </is>
      </c>
      <c r="E4001" t="inlineStr">
        <is>
          <t>SKARA</t>
        </is>
      </c>
      <c r="G4001" t="n">
        <v>3.7</v>
      </c>
      <c r="H4001" t="n">
        <v>0</v>
      </c>
      <c r="I4001" t="n">
        <v>0</v>
      </c>
      <c r="J4001" t="n">
        <v>0</v>
      </c>
      <c r="K4001" t="n">
        <v>0</v>
      </c>
      <c r="L4001" t="n">
        <v>0</v>
      </c>
      <c r="M4001" t="n">
        <v>0</v>
      </c>
      <c r="N4001" t="n">
        <v>0</v>
      </c>
      <c r="O4001" t="n">
        <v>0</v>
      </c>
      <c r="P4001" t="n">
        <v>0</v>
      </c>
      <c r="Q4001" t="n">
        <v>0</v>
      </c>
      <c r="R4001" s="2" t="inlineStr"/>
    </row>
    <row r="4002" ht="15" customHeight="1">
      <c r="A4002" t="inlineStr">
        <is>
          <t>A 3634-2020</t>
        </is>
      </c>
      <c r="B4002" s="1" t="n">
        <v>43853</v>
      </c>
      <c r="C4002" s="1" t="n">
        <v>45227</v>
      </c>
      <c r="D4002" t="inlineStr">
        <is>
          <t>VÄSTRA GÖTALANDS LÄN</t>
        </is>
      </c>
      <c r="E4002" t="inlineStr">
        <is>
          <t>TROLLHÄTTAN</t>
        </is>
      </c>
      <c r="G4002" t="n">
        <v>5.7</v>
      </c>
      <c r="H4002" t="n">
        <v>0</v>
      </c>
      <c r="I4002" t="n">
        <v>0</v>
      </c>
      <c r="J4002" t="n">
        <v>0</v>
      </c>
      <c r="K4002" t="n">
        <v>0</v>
      </c>
      <c r="L4002" t="n">
        <v>0</v>
      </c>
      <c r="M4002" t="n">
        <v>0</v>
      </c>
      <c r="N4002" t="n">
        <v>0</v>
      </c>
      <c r="O4002" t="n">
        <v>0</v>
      </c>
      <c r="P4002" t="n">
        <v>0</v>
      </c>
      <c r="Q4002" t="n">
        <v>0</v>
      </c>
      <c r="R4002" s="2" t="inlineStr"/>
    </row>
    <row r="4003" ht="15" customHeight="1">
      <c r="A4003" t="inlineStr">
        <is>
          <t>A 3597-2020</t>
        </is>
      </c>
      <c r="B4003" s="1" t="n">
        <v>43853</v>
      </c>
      <c r="C4003" s="1" t="n">
        <v>45227</v>
      </c>
      <c r="D4003" t="inlineStr">
        <is>
          <t>VÄSTRA GÖTALANDS LÄN</t>
        </is>
      </c>
      <c r="E4003" t="inlineStr">
        <is>
          <t>SVENLJUNGA</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3650-2020</t>
        </is>
      </c>
      <c r="B4004" s="1" t="n">
        <v>43853</v>
      </c>
      <c r="C4004" s="1" t="n">
        <v>45227</v>
      </c>
      <c r="D4004" t="inlineStr">
        <is>
          <t>VÄSTRA GÖTALANDS LÄN</t>
        </is>
      </c>
      <c r="E4004" t="inlineStr">
        <is>
          <t>KARLSBORG</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4928-2020</t>
        </is>
      </c>
      <c r="B4005" s="1" t="n">
        <v>43853</v>
      </c>
      <c r="C4005" s="1" t="n">
        <v>45227</v>
      </c>
      <c r="D4005" t="inlineStr">
        <is>
          <t>VÄSTRA GÖTALANDS LÄN</t>
        </is>
      </c>
      <c r="E4005" t="inlineStr">
        <is>
          <t>GÖTENE</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3579-2020</t>
        </is>
      </c>
      <c r="B4006" s="1" t="n">
        <v>43853</v>
      </c>
      <c r="C4006" s="1" t="n">
        <v>45227</v>
      </c>
      <c r="D4006" t="inlineStr">
        <is>
          <t>VÄSTRA GÖTALANDS LÄN</t>
        </is>
      </c>
      <c r="E4006" t="inlineStr">
        <is>
          <t>FALKÖPING</t>
        </is>
      </c>
      <c r="F4006" t="inlineStr">
        <is>
          <t>Kommuner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3599-2020</t>
        </is>
      </c>
      <c r="B4007" s="1" t="n">
        <v>43853</v>
      </c>
      <c r="C4007" s="1" t="n">
        <v>45227</v>
      </c>
      <c r="D4007" t="inlineStr">
        <is>
          <t>VÄSTRA GÖTALANDS LÄN</t>
        </is>
      </c>
      <c r="E4007" t="inlineStr">
        <is>
          <t>SKARA</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3632-2020</t>
        </is>
      </c>
      <c r="B4008" s="1" t="n">
        <v>43853</v>
      </c>
      <c r="C4008" s="1" t="n">
        <v>45227</v>
      </c>
      <c r="D4008" t="inlineStr">
        <is>
          <t>VÄSTRA GÖTALANDS LÄN</t>
        </is>
      </c>
      <c r="E4008" t="inlineStr">
        <is>
          <t>SKARA</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3789-2020</t>
        </is>
      </c>
      <c r="B4009" s="1" t="n">
        <v>43854</v>
      </c>
      <c r="C4009" s="1" t="n">
        <v>45227</v>
      </c>
      <c r="D4009" t="inlineStr">
        <is>
          <t>VÄSTRA GÖTALANDS LÄN</t>
        </is>
      </c>
      <c r="E4009" t="inlineStr">
        <is>
          <t>MÖLNDAL</t>
        </is>
      </c>
      <c r="G4009" t="n">
        <v>4.2</v>
      </c>
      <c r="H4009" t="n">
        <v>0</v>
      </c>
      <c r="I4009" t="n">
        <v>0</v>
      </c>
      <c r="J4009" t="n">
        <v>0</v>
      </c>
      <c r="K4009" t="n">
        <v>0</v>
      </c>
      <c r="L4009" t="n">
        <v>0</v>
      </c>
      <c r="M4009" t="n">
        <v>0</v>
      </c>
      <c r="N4009" t="n">
        <v>0</v>
      </c>
      <c r="O4009" t="n">
        <v>0</v>
      </c>
      <c r="P4009" t="n">
        <v>0</v>
      </c>
      <c r="Q4009" t="n">
        <v>0</v>
      </c>
      <c r="R4009" s="2" t="inlineStr"/>
    </row>
    <row r="4010" ht="15" customHeight="1">
      <c r="A4010" t="inlineStr">
        <is>
          <t>A 3846-2020</t>
        </is>
      </c>
      <c r="B4010" s="1" t="n">
        <v>43854</v>
      </c>
      <c r="C4010" s="1" t="n">
        <v>45227</v>
      </c>
      <c r="D4010" t="inlineStr">
        <is>
          <t>VÄSTRA GÖTALANDS LÄN</t>
        </is>
      </c>
      <c r="E4010" t="inlineStr">
        <is>
          <t>ULRICEHAMN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3877-2020</t>
        </is>
      </c>
      <c r="B4011" s="1" t="n">
        <v>43854</v>
      </c>
      <c r="C4011" s="1" t="n">
        <v>45227</v>
      </c>
      <c r="D4011" t="inlineStr">
        <is>
          <t>VÄSTRA GÖTALANDS LÄN</t>
        </is>
      </c>
      <c r="E4011" t="inlineStr">
        <is>
          <t>BORÅS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3894-2020</t>
        </is>
      </c>
      <c r="B4012" s="1" t="n">
        <v>43854</v>
      </c>
      <c r="C4012" s="1" t="n">
        <v>45227</v>
      </c>
      <c r="D4012" t="inlineStr">
        <is>
          <t>VÄSTRA GÖTALANDS LÄN</t>
        </is>
      </c>
      <c r="E4012" t="inlineStr">
        <is>
          <t>BORÅS</t>
        </is>
      </c>
      <c r="G4012" t="n">
        <v>3.6</v>
      </c>
      <c r="H4012" t="n">
        <v>0</v>
      </c>
      <c r="I4012" t="n">
        <v>0</v>
      </c>
      <c r="J4012" t="n">
        <v>0</v>
      </c>
      <c r="K4012" t="n">
        <v>0</v>
      </c>
      <c r="L4012" t="n">
        <v>0</v>
      </c>
      <c r="M4012" t="n">
        <v>0</v>
      </c>
      <c r="N4012" t="n">
        <v>0</v>
      </c>
      <c r="O4012" t="n">
        <v>0</v>
      </c>
      <c r="P4012" t="n">
        <v>0</v>
      </c>
      <c r="Q4012" t="n">
        <v>0</v>
      </c>
      <c r="R4012" s="2" t="inlineStr"/>
    </row>
    <row r="4013" ht="15" customHeight="1">
      <c r="A4013" t="inlineStr">
        <is>
          <t>A 3906-2020</t>
        </is>
      </c>
      <c r="B4013" s="1" t="n">
        <v>43854</v>
      </c>
      <c r="C4013" s="1" t="n">
        <v>45227</v>
      </c>
      <c r="D4013" t="inlineStr">
        <is>
          <t>VÄSTRA GÖTALANDS LÄN</t>
        </is>
      </c>
      <c r="E4013" t="inlineStr">
        <is>
          <t>TANUM</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3944-2020</t>
        </is>
      </c>
      <c r="B4014" s="1" t="n">
        <v>43854</v>
      </c>
      <c r="C4014" s="1" t="n">
        <v>45227</v>
      </c>
      <c r="D4014" t="inlineStr">
        <is>
          <t>VÄSTRA GÖTALANDS LÄN</t>
        </is>
      </c>
      <c r="E4014" t="inlineStr">
        <is>
          <t>BENGTSFORS</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4449-2020</t>
        </is>
      </c>
      <c r="B4015" s="1" t="n">
        <v>43854</v>
      </c>
      <c r="C4015" s="1" t="n">
        <v>45227</v>
      </c>
      <c r="D4015" t="inlineStr">
        <is>
          <t>VÄSTRA GÖTALANDS LÄN</t>
        </is>
      </c>
      <c r="E4015" t="inlineStr">
        <is>
          <t>TIBRO</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3754-2020</t>
        </is>
      </c>
      <c r="B4016" s="1" t="n">
        <v>43854</v>
      </c>
      <c r="C4016" s="1" t="n">
        <v>45227</v>
      </c>
      <c r="D4016" t="inlineStr">
        <is>
          <t>VÄSTRA GÖTALANDS LÄN</t>
        </is>
      </c>
      <c r="E4016" t="inlineStr">
        <is>
          <t>LIDKÖPING</t>
        </is>
      </c>
      <c r="G4016" t="n">
        <v>2.1</v>
      </c>
      <c r="H4016" t="n">
        <v>0</v>
      </c>
      <c r="I4016" t="n">
        <v>0</v>
      </c>
      <c r="J4016" t="n">
        <v>0</v>
      </c>
      <c r="K4016" t="n">
        <v>0</v>
      </c>
      <c r="L4016" t="n">
        <v>0</v>
      </c>
      <c r="M4016" t="n">
        <v>0</v>
      </c>
      <c r="N4016" t="n">
        <v>0</v>
      </c>
      <c r="O4016" t="n">
        <v>0</v>
      </c>
      <c r="P4016" t="n">
        <v>0</v>
      </c>
      <c r="Q4016" t="n">
        <v>0</v>
      </c>
      <c r="R4016" s="2" t="inlineStr"/>
    </row>
    <row r="4017" ht="15" customHeight="1">
      <c r="A4017" t="inlineStr">
        <is>
          <t>A 3823-2020</t>
        </is>
      </c>
      <c r="B4017" s="1" t="n">
        <v>43854</v>
      </c>
      <c r="C4017" s="1" t="n">
        <v>45227</v>
      </c>
      <c r="D4017" t="inlineStr">
        <is>
          <t>VÄSTRA GÖTALANDS LÄN</t>
        </is>
      </c>
      <c r="E4017" t="inlineStr">
        <is>
          <t>MARIESTAD</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3918-2020</t>
        </is>
      </c>
      <c r="B4018" s="1" t="n">
        <v>43854</v>
      </c>
      <c r="C4018" s="1" t="n">
        <v>45227</v>
      </c>
      <c r="D4018" t="inlineStr">
        <is>
          <t>VÄSTRA GÖTALANDS LÄN</t>
        </is>
      </c>
      <c r="E4018" t="inlineStr">
        <is>
          <t>FÄRGELANDA</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5309-2020</t>
        </is>
      </c>
      <c r="B4019" s="1" t="n">
        <v>43854</v>
      </c>
      <c r="C4019" s="1" t="n">
        <v>45227</v>
      </c>
      <c r="D4019" t="inlineStr">
        <is>
          <t>VÄSTRA GÖTALANDS LÄN</t>
        </is>
      </c>
      <c r="E4019" t="inlineStr">
        <is>
          <t>TIDAHOLM</t>
        </is>
      </c>
      <c r="G4019" t="n">
        <v>2.4</v>
      </c>
      <c r="H4019" t="n">
        <v>0</v>
      </c>
      <c r="I4019" t="n">
        <v>0</v>
      </c>
      <c r="J4019" t="n">
        <v>0</v>
      </c>
      <c r="K4019" t="n">
        <v>0</v>
      </c>
      <c r="L4019" t="n">
        <v>0</v>
      </c>
      <c r="M4019" t="n">
        <v>0</v>
      </c>
      <c r="N4019" t="n">
        <v>0</v>
      </c>
      <c r="O4019" t="n">
        <v>0</v>
      </c>
      <c r="P4019" t="n">
        <v>0</v>
      </c>
      <c r="Q4019" t="n">
        <v>0</v>
      </c>
      <c r="R4019" s="2" t="inlineStr"/>
    </row>
    <row r="4020" ht="15" customHeight="1">
      <c r="A4020" t="inlineStr">
        <is>
          <t>A 3780-2020</t>
        </is>
      </c>
      <c r="B4020" s="1" t="n">
        <v>43854</v>
      </c>
      <c r="C4020" s="1" t="n">
        <v>45227</v>
      </c>
      <c r="D4020" t="inlineStr">
        <is>
          <t>VÄSTRA GÖTALANDS LÄN</t>
        </is>
      </c>
      <c r="E4020" t="inlineStr">
        <is>
          <t>GULLSPÅNG</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5205-2020</t>
        </is>
      </c>
      <c r="B4021" s="1" t="n">
        <v>43854</v>
      </c>
      <c r="C4021" s="1" t="n">
        <v>45227</v>
      </c>
      <c r="D4021" t="inlineStr">
        <is>
          <t>VÄSTRA GÖTALANDS LÄN</t>
        </is>
      </c>
      <c r="E4021" t="inlineStr">
        <is>
          <t>BENGTSFORS</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5304-2020</t>
        </is>
      </c>
      <c r="B4022" s="1" t="n">
        <v>43854</v>
      </c>
      <c r="C4022" s="1" t="n">
        <v>45227</v>
      </c>
      <c r="D4022" t="inlineStr">
        <is>
          <t>VÄSTRA GÖTALANDS LÄN</t>
        </is>
      </c>
      <c r="E4022" t="inlineStr">
        <is>
          <t>TIDAHOLM</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4083-2020</t>
        </is>
      </c>
      <c r="B4023" s="1" t="n">
        <v>43856</v>
      </c>
      <c r="C4023" s="1" t="n">
        <v>45227</v>
      </c>
      <c r="D4023" t="inlineStr">
        <is>
          <t>VÄSTRA GÖTALANDS LÄN</t>
        </is>
      </c>
      <c r="E4023" t="inlineStr">
        <is>
          <t>TÖREBODA</t>
        </is>
      </c>
      <c r="G4023" t="n">
        <v>5</v>
      </c>
      <c r="H4023" t="n">
        <v>0</v>
      </c>
      <c r="I4023" t="n">
        <v>0</v>
      </c>
      <c r="J4023" t="n">
        <v>0</v>
      </c>
      <c r="K4023" t="n">
        <v>0</v>
      </c>
      <c r="L4023" t="n">
        <v>0</v>
      </c>
      <c r="M4023" t="n">
        <v>0</v>
      </c>
      <c r="N4023" t="n">
        <v>0</v>
      </c>
      <c r="O4023" t="n">
        <v>0</v>
      </c>
      <c r="P4023" t="n">
        <v>0</v>
      </c>
      <c r="Q4023" t="n">
        <v>0</v>
      </c>
      <c r="R4023" s="2" t="inlineStr"/>
    </row>
    <row r="4024" ht="15" customHeight="1">
      <c r="A4024" t="inlineStr">
        <is>
          <t>A 4078-2020</t>
        </is>
      </c>
      <c r="B4024" s="1" t="n">
        <v>43857</v>
      </c>
      <c r="C4024" s="1" t="n">
        <v>45227</v>
      </c>
      <c r="D4024" t="inlineStr">
        <is>
          <t>VÄSTRA GÖTALANDS LÄN</t>
        </is>
      </c>
      <c r="E4024" t="inlineStr">
        <is>
          <t>GULLSPÅNG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4358-2020</t>
        </is>
      </c>
      <c r="B4025" s="1" t="n">
        <v>43857</v>
      </c>
      <c r="C4025" s="1" t="n">
        <v>45227</v>
      </c>
      <c r="D4025" t="inlineStr">
        <is>
          <t>VÄSTRA GÖTALANDS LÄN</t>
        </is>
      </c>
      <c r="E4025" t="inlineStr">
        <is>
          <t>MARK</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4368-2020</t>
        </is>
      </c>
      <c r="B4026" s="1" t="n">
        <v>43857</v>
      </c>
      <c r="C4026" s="1" t="n">
        <v>45227</v>
      </c>
      <c r="D4026" t="inlineStr">
        <is>
          <t>VÄSTRA GÖTALANDS LÄN</t>
        </is>
      </c>
      <c r="E4026" t="inlineStr">
        <is>
          <t>TIBRO</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4166-2020</t>
        </is>
      </c>
      <c r="B4027" s="1" t="n">
        <v>43857</v>
      </c>
      <c r="C4027" s="1" t="n">
        <v>45227</v>
      </c>
      <c r="D4027" t="inlineStr">
        <is>
          <t>VÄSTRA GÖTALANDS LÄN</t>
        </is>
      </c>
      <c r="E4027" t="inlineStr">
        <is>
          <t>TANUM</t>
        </is>
      </c>
      <c r="G4027" t="n">
        <v>3.2</v>
      </c>
      <c r="H4027" t="n">
        <v>0</v>
      </c>
      <c r="I4027" t="n">
        <v>0</v>
      </c>
      <c r="J4027" t="n">
        <v>0</v>
      </c>
      <c r="K4027" t="n">
        <v>0</v>
      </c>
      <c r="L4027" t="n">
        <v>0</v>
      </c>
      <c r="M4027" t="n">
        <v>0</v>
      </c>
      <c r="N4027" t="n">
        <v>0</v>
      </c>
      <c r="O4027" t="n">
        <v>0</v>
      </c>
      <c r="P4027" t="n">
        <v>0</v>
      </c>
      <c r="Q4027" t="n">
        <v>0</v>
      </c>
      <c r="R4027" s="2" t="inlineStr"/>
    </row>
    <row r="4028" ht="15" customHeight="1">
      <c r="A4028" t="inlineStr">
        <is>
          <t>A 4328-2020</t>
        </is>
      </c>
      <c r="B4028" s="1" t="n">
        <v>43857</v>
      </c>
      <c r="C4028" s="1" t="n">
        <v>45227</v>
      </c>
      <c r="D4028" t="inlineStr">
        <is>
          <t>VÄSTRA GÖTALANDS LÄN</t>
        </is>
      </c>
      <c r="E4028" t="inlineStr">
        <is>
          <t>MARK</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4231-2020</t>
        </is>
      </c>
      <c r="B4029" s="1" t="n">
        <v>43857</v>
      </c>
      <c r="C4029" s="1" t="n">
        <v>45227</v>
      </c>
      <c r="D4029" t="inlineStr">
        <is>
          <t>VÄSTRA GÖTALANDS LÄN</t>
        </is>
      </c>
      <c r="E4029" t="inlineStr">
        <is>
          <t>LERUM</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4063-2020</t>
        </is>
      </c>
      <c r="B4030" s="1" t="n">
        <v>43857</v>
      </c>
      <c r="C4030" s="1" t="n">
        <v>45227</v>
      </c>
      <c r="D4030" t="inlineStr">
        <is>
          <t>VÄSTRA GÖTALANDS LÄN</t>
        </is>
      </c>
      <c r="E4030" t="inlineStr">
        <is>
          <t>HJO</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5324-2020</t>
        </is>
      </c>
      <c r="B4031" s="1" t="n">
        <v>43857</v>
      </c>
      <c r="C4031" s="1" t="n">
        <v>45227</v>
      </c>
      <c r="D4031" t="inlineStr">
        <is>
          <t>VÄSTRA GÖTALANDS LÄN</t>
        </is>
      </c>
      <c r="E4031" t="inlineStr">
        <is>
          <t>DALS-ED</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4373-2020</t>
        </is>
      </c>
      <c r="B4032" s="1" t="n">
        <v>43858</v>
      </c>
      <c r="C4032" s="1" t="n">
        <v>45227</v>
      </c>
      <c r="D4032" t="inlineStr">
        <is>
          <t>VÄSTRA GÖTALANDS LÄN</t>
        </is>
      </c>
      <c r="E4032" t="inlineStr">
        <is>
          <t>ORUST</t>
        </is>
      </c>
      <c r="F4032" t="inlineStr">
        <is>
          <t>Kommuner</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4445-2020</t>
        </is>
      </c>
      <c r="B4033" s="1" t="n">
        <v>43858</v>
      </c>
      <c r="C4033" s="1" t="n">
        <v>45227</v>
      </c>
      <c r="D4033" t="inlineStr">
        <is>
          <t>VÄSTRA GÖTALANDS LÄN</t>
        </is>
      </c>
      <c r="E4033" t="inlineStr">
        <is>
          <t>BENGTSFORS</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4484-2020</t>
        </is>
      </c>
      <c r="B4034" s="1" t="n">
        <v>43858</v>
      </c>
      <c r="C4034" s="1" t="n">
        <v>45227</v>
      </c>
      <c r="D4034" t="inlineStr">
        <is>
          <t>VÄSTRA GÖTALANDS LÄN</t>
        </is>
      </c>
      <c r="E4034" t="inlineStr">
        <is>
          <t>FÄRGELANDA</t>
        </is>
      </c>
      <c r="G4034" t="n">
        <v>8.300000000000001</v>
      </c>
      <c r="H4034" t="n">
        <v>0</v>
      </c>
      <c r="I4034" t="n">
        <v>0</v>
      </c>
      <c r="J4034" t="n">
        <v>0</v>
      </c>
      <c r="K4034" t="n">
        <v>0</v>
      </c>
      <c r="L4034" t="n">
        <v>0</v>
      </c>
      <c r="M4034" t="n">
        <v>0</v>
      </c>
      <c r="N4034" t="n">
        <v>0</v>
      </c>
      <c r="O4034" t="n">
        <v>0</v>
      </c>
      <c r="P4034" t="n">
        <v>0</v>
      </c>
      <c r="Q4034" t="n">
        <v>0</v>
      </c>
      <c r="R4034" s="2" t="inlineStr"/>
    </row>
    <row r="4035" ht="15" customHeight="1">
      <c r="A4035" t="inlineStr">
        <is>
          <t>A 4432-2020</t>
        </is>
      </c>
      <c r="B4035" s="1" t="n">
        <v>43858</v>
      </c>
      <c r="C4035" s="1" t="n">
        <v>45227</v>
      </c>
      <c r="D4035" t="inlineStr">
        <is>
          <t>VÄSTRA GÖTALANDS LÄN</t>
        </is>
      </c>
      <c r="E4035" t="inlineStr">
        <is>
          <t>MUNKEDAL</t>
        </is>
      </c>
      <c r="G4035" t="n">
        <v>2.2</v>
      </c>
      <c r="H4035" t="n">
        <v>0</v>
      </c>
      <c r="I4035" t="n">
        <v>0</v>
      </c>
      <c r="J4035" t="n">
        <v>0</v>
      </c>
      <c r="K4035" t="n">
        <v>0</v>
      </c>
      <c r="L4035" t="n">
        <v>0</v>
      </c>
      <c r="M4035" t="n">
        <v>0</v>
      </c>
      <c r="N4035" t="n">
        <v>0</v>
      </c>
      <c r="O4035" t="n">
        <v>0</v>
      </c>
      <c r="P4035" t="n">
        <v>0</v>
      </c>
      <c r="Q4035" t="n">
        <v>0</v>
      </c>
      <c r="R4035" s="2" t="inlineStr"/>
    </row>
    <row r="4036" ht="15" customHeight="1">
      <c r="A4036" t="inlineStr">
        <is>
          <t>A 4530-2020</t>
        </is>
      </c>
      <c r="B4036" s="1" t="n">
        <v>43858</v>
      </c>
      <c r="C4036" s="1" t="n">
        <v>45227</v>
      </c>
      <c r="D4036" t="inlineStr">
        <is>
          <t>VÄSTRA GÖTALANDS LÄN</t>
        </is>
      </c>
      <c r="E4036" t="inlineStr">
        <is>
          <t>ORUST</t>
        </is>
      </c>
      <c r="F4036" t="inlineStr">
        <is>
          <t>Kommuner</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4565-2020</t>
        </is>
      </c>
      <c r="B4037" s="1" t="n">
        <v>43858</v>
      </c>
      <c r="C4037" s="1" t="n">
        <v>45227</v>
      </c>
      <c r="D4037" t="inlineStr">
        <is>
          <t>VÄSTRA GÖTALANDS LÄN</t>
        </is>
      </c>
      <c r="E4037" t="inlineStr">
        <is>
          <t>ORUST</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4595-2020</t>
        </is>
      </c>
      <c r="B4038" s="1" t="n">
        <v>43858</v>
      </c>
      <c r="C4038" s="1" t="n">
        <v>45227</v>
      </c>
      <c r="D4038" t="inlineStr">
        <is>
          <t>VÄSTRA GÖTALANDS LÄN</t>
        </is>
      </c>
      <c r="E4038" t="inlineStr">
        <is>
          <t>MELLERUD</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4468-2020</t>
        </is>
      </c>
      <c r="B4039" s="1" t="n">
        <v>43858</v>
      </c>
      <c r="C4039" s="1" t="n">
        <v>45227</v>
      </c>
      <c r="D4039" t="inlineStr">
        <is>
          <t>VÄSTRA GÖTALANDS LÄN</t>
        </is>
      </c>
      <c r="E4039" t="inlineStr">
        <is>
          <t>BORÅS</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4496-2020</t>
        </is>
      </c>
      <c r="B4040" s="1" t="n">
        <v>43858</v>
      </c>
      <c r="C4040" s="1" t="n">
        <v>45227</v>
      </c>
      <c r="D4040" t="inlineStr">
        <is>
          <t>VÄSTRA GÖTALANDS LÄN</t>
        </is>
      </c>
      <c r="E4040" t="inlineStr">
        <is>
          <t>MARK</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4532-2020</t>
        </is>
      </c>
      <c r="B4041" s="1" t="n">
        <v>43858</v>
      </c>
      <c r="C4041" s="1" t="n">
        <v>45227</v>
      </c>
      <c r="D4041" t="inlineStr">
        <is>
          <t>VÄSTRA GÖTALANDS LÄN</t>
        </is>
      </c>
      <c r="E4041" t="inlineStr">
        <is>
          <t>FALKÖPING</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5472-2020</t>
        </is>
      </c>
      <c r="B4042" s="1" t="n">
        <v>43858</v>
      </c>
      <c r="C4042" s="1" t="n">
        <v>45227</v>
      </c>
      <c r="D4042" t="inlineStr">
        <is>
          <t>VÄSTRA GÖTALANDS LÄN</t>
        </is>
      </c>
      <c r="E4042" t="inlineStr">
        <is>
          <t>FÄRGELANDA</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4500-2020</t>
        </is>
      </c>
      <c r="B4043" s="1" t="n">
        <v>43858</v>
      </c>
      <c r="C4043" s="1" t="n">
        <v>45227</v>
      </c>
      <c r="D4043" t="inlineStr">
        <is>
          <t>VÄSTRA GÖTALANDS LÄN</t>
        </is>
      </c>
      <c r="E4043" t="inlineStr">
        <is>
          <t>FÄRGELANDA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5578-2020</t>
        </is>
      </c>
      <c r="B4044" s="1" t="n">
        <v>43859</v>
      </c>
      <c r="C4044" s="1" t="n">
        <v>45227</v>
      </c>
      <c r="D4044" t="inlineStr">
        <is>
          <t>VÄSTRA GÖTALANDS LÄN</t>
        </is>
      </c>
      <c r="E4044" t="inlineStr">
        <is>
          <t>SOTENÄS</t>
        </is>
      </c>
      <c r="G4044" t="n">
        <v>0.3</v>
      </c>
      <c r="H4044" t="n">
        <v>0</v>
      </c>
      <c r="I4044" t="n">
        <v>0</v>
      </c>
      <c r="J4044" t="n">
        <v>0</v>
      </c>
      <c r="K4044" t="n">
        <v>0</v>
      </c>
      <c r="L4044" t="n">
        <v>0</v>
      </c>
      <c r="M4044" t="n">
        <v>0</v>
      </c>
      <c r="N4044" t="n">
        <v>0</v>
      </c>
      <c r="O4044" t="n">
        <v>0</v>
      </c>
      <c r="P4044" t="n">
        <v>0</v>
      </c>
      <c r="Q4044" t="n">
        <v>0</v>
      </c>
      <c r="R4044" s="2" t="inlineStr"/>
    </row>
    <row r="4045" ht="15" customHeight="1">
      <c r="A4045" t="inlineStr">
        <is>
          <t>A 4873-2020</t>
        </is>
      </c>
      <c r="B4045" s="1" t="n">
        <v>43859</v>
      </c>
      <c r="C4045" s="1" t="n">
        <v>45227</v>
      </c>
      <c r="D4045" t="inlineStr">
        <is>
          <t>VÄSTRA GÖTALANDS LÄN</t>
        </is>
      </c>
      <c r="E4045" t="inlineStr">
        <is>
          <t>STENUNGSUND</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4915-2020</t>
        </is>
      </c>
      <c r="B4046" s="1" t="n">
        <v>43859</v>
      </c>
      <c r="C4046" s="1" t="n">
        <v>45227</v>
      </c>
      <c r="D4046" t="inlineStr">
        <is>
          <t>VÄSTRA GÖTALANDS LÄN</t>
        </is>
      </c>
      <c r="E4046" t="inlineStr">
        <is>
          <t>BENGTSFORS</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5452-2020</t>
        </is>
      </c>
      <c r="B4047" s="1" t="n">
        <v>43859</v>
      </c>
      <c r="C4047" s="1" t="n">
        <v>45227</v>
      </c>
      <c r="D4047" t="inlineStr">
        <is>
          <t>VÄSTRA GÖTALANDS LÄN</t>
        </is>
      </c>
      <c r="E4047" t="inlineStr">
        <is>
          <t>TJÖRN</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5543-2020</t>
        </is>
      </c>
      <c r="B4048" s="1" t="n">
        <v>43859</v>
      </c>
      <c r="C4048" s="1" t="n">
        <v>45227</v>
      </c>
      <c r="D4048" t="inlineStr">
        <is>
          <t>VÄSTRA GÖTALANDS LÄN</t>
        </is>
      </c>
      <c r="E4048" t="inlineStr">
        <is>
          <t>SOTENÄS</t>
        </is>
      </c>
      <c r="G4048" t="n">
        <v>4.2</v>
      </c>
      <c r="H4048" t="n">
        <v>0</v>
      </c>
      <c r="I4048" t="n">
        <v>0</v>
      </c>
      <c r="J4048" t="n">
        <v>0</v>
      </c>
      <c r="K4048" t="n">
        <v>0</v>
      </c>
      <c r="L4048" t="n">
        <v>0</v>
      </c>
      <c r="M4048" t="n">
        <v>0</v>
      </c>
      <c r="N4048" t="n">
        <v>0</v>
      </c>
      <c r="O4048" t="n">
        <v>0</v>
      </c>
      <c r="P4048" t="n">
        <v>0</v>
      </c>
      <c r="Q4048" t="n">
        <v>0</v>
      </c>
      <c r="R4048" s="2" t="inlineStr"/>
    </row>
    <row r="4049" ht="15" customHeight="1">
      <c r="A4049" t="inlineStr">
        <is>
          <t>A 4897-2020</t>
        </is>
      </c>
      <c r="B4049" s="1" t="n">
        <v>43859</v>
      </c>
      <c r="C4049" s="1" t="n">
        <v>45227</v>
      </c>
      <c r="D4049" t="inlineStr">
        <is>
          <t>VÄSTRA GÖTALANDS LÄN</t>
        </is>
      </c>
      <c r="E4049" t="inlineStr">
        <is>
          <t>TIDAHOLM</t>
        </is>
      </c>
      <c r="F4049" t="inlineStr">
        <is>
          <t>Sveaskog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5195-2020</t>
        </is>
      </c>
      <c r="B4050" s="1" t="n">
        <v>43859</v>
      </c>
      <c r="C4050" s="1" t="n">
        <v>45227</v>
      </c>
      <c r="D4050" t="inlineStr">
        <is>
          <t>VÄSTRA GÖTALANDS LÄN</t>
        </is>
      </c>
      <c r="E4050" t="inlineStr">
        <is>
          <t>MARK</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5585-2020</t>
        </is>
      </c>
      <c r="B4051" s="1" t="n">
        <v>43859</v>
      </c>
      <c r="C4051" s="1" t="n">
        <v>45227</v>
      </c>
      <c r="D4051" t="inlineStr">
        <is>
          <t>VÄSTRA GÖTALANDS LÄN</t>
        </is>
      </c>
      <c r="E4051" t="inlineStr">
        <is>
          <t>SOTENÄS</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4879-2020</t>
        </is>
      </c>
      <c r="B4052" s="1" t="n">
        <v>43859</v>
      </c>
      <c r="C4052" s="1" t="n">
        <v>45227</v>
      </c>
      <c r="D4052" t="inlineStr">
        <is>
          <t>VÄSTRA GÖTALANDS LÄN</t>
        </is>
      </c>
      <c r="E4052" t="inlineStr">
        <is>
          <t>ALE</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5617-2020</t>
        </is>
      </c>
      <c r="B4053" s="1" t="n">
        <v>43860</v>
      </c>
      <c r="C4053" s="1" t="n">
        <v>45227</v>
      </c>
      <c r="D4053" t="inlineStr">
        <is>
          <t>VÄSTRA GÖTALANDS LÄN</t>
        </is>
      </c>
      <c r="E4053" t="inlineStr">
        <is>
          <t>VÄNERSBORG</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5633-2020</t>
        </is>
      </c>
      <c r="B4054" s="1" t="n">
        <v>43860</v>
      </c>
      <c r="C4054" s="1" t="n">
        <v>45227</v>
      </c>
      <c r="D4054" t="inlineStr">
        <is>
          <t>VÄSTRA GÖTALANDS LÄN</t>
        </is>
      </c>
      <c r="E4054" t="inlineStr">
        <is>
          <t>ÅMÅL</t>
        </is>
      </c>
      <c r="F4054" t="inlineStr">
        <is>
          <t>Bergvik skog väst AB</t>
        </is>
      </c>
      <c r="G4054" t="n">
        <v>18.7</v>
      </c>
      <c r="H4054" t="n">
        <v>0</v>
      </c>
      <c r="I4054" t="n">
        <v>0</v>
      </c>
      <c r="J4054" t="n">
        <v>0</v>
      </c>
      <c r="K4054" t="n">
        <v>0</v>
      </c>
      <c r="L4054" t="n">
        <v>0</v>
      </c>
      <c r="M4054" t="n">
        <v>0</v>
      </c>
      <c r="N4054" t="n">
        <v>0</v>
      </c>
      <c r="O4054" t="n">
        <v>0</v>
      </c>
      <c r="P4054" t="n">
        <v>0</v>
      </c>
      <c r="Q4054" t="n">
        <v>0</v>
      </c>
      <c r="R4054" s="2" t="inlineStr"/>
    </row>
    <row r="4055" ht="15" customHeight="1">
      <c r="A4055" t="inlineStr">
        <is>
          <t>A 5274-2020</t>
        </is>
      </c>
      <c r="B4055" s="1" t="n">
        <v>43860</v>
      </c>
      <c r="C4055" s="1" t="n">
        <v>45227</v>
      </c>
      <c r="D4055" t="inlineStr">
        <is>
          <t>VÄSTRA GÖTALANDS LÄN</t>
        </is>
      </c>
      <c r="E4055" t="inlineStr">
        <is>
          <t>MARK</t>
        </is>
      </c>
      <c r="G4055" t="n">
        <v>2.5</v>
      </c>
      <c r="H4055" t="n">
        <v>0</v>
      </c>
      <c r="I4055" t="n">
        <v>0</v>
      </c>
      <c r="J4055" t="n">
        <v>0</v>
      </c>
      <c r="K4055" t="n">
        <v>0</v>
      </c>
      <c r="L4055" t="n">
        <v>0</v>
      </c>
      <c r="M4055" t="n">
        <v>0</v>
      </c>
      <c r="N4055" t="n">
        <v>0</v>
      </c>
      <c r="O4055" t="n">
        <v>0</v>
      </c>
      <c r="P4055" t="n">
        <v>0</v>
      </c>
      <c r="Q4055" t="n">
        <v>0</v>
      </c>
      <c r="R4055" s="2" t="inlineStr"/>
    </row>
    <row r="4056" ht="15" customHeight="1">
      <c r="A4056" t="inlineStr">
        <is>
          <t>A 5356-2020</t>
        </is>
      </c>
      <c r="B4056" s="1" t="n">
        <v>43860</v>
      </c>
      <c r="C4056" s="1" t="n">
        <v>45227</v>
      </c>
      <c r="D4056" t="inlineStr">
        <is>
          <t>VÄSTRA GÖTALANDS LÄN</t>
        </is>
      </c>
      <c r="E4056" t="inlineStr">
        <is>
          <t>MARK</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5132-2020</t>
        </is>
      </c>
      <c r="B4057" s="1" t="n">
        <v>43860</v>
      </c>
      <c r="C4057" s="1" t="n">
        <v>45227</v>
      </c>
      <c r="D4057" t="inlineStr">
        <is>
          <t>VÄSTRA GÖTALANDS LÄN</t>
        </is>
      </c>
      <c r="E4057" t="inlineStr">
        <is>
          <t>ULRICEHAMN</t>
        </is>
      </c>
      <c r="F4057" t="inlineStr">
        <is>
          <t>Sveaskog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5272-2020</t>
        </is>
      </c>
      <c r="B4058" s="1" t="n">
        <v>43860</v>
      </c>
      <c r="C4058" s="1" t="n">
        <v>45227</v>
      </c>
      <c r="D4058" t="inlineStr">
        <is>
          <t>VÄSTRA GÖTALANDS LÄN</t>
        </is>
      </c>
      <c r="E4058" t="inlineStr">
        <is>
          <t>MARK</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5392-2020</t>
        </is>
      </c>
      <c r="B4059" s="1" t="n">
        <v>43860</v>
      </c>
      <c r="C4059" s="1" t="n">
        <v>45227</v>
      </c>
      <c r="D4059" t="inlineStr">
        <is>
          <t>VÄSTRA GÖTALANDS LÄN</t>
        </is>
      </c>
      <c r="E4059" t="inlineStr">
        <is>
          <t>MUNKEDAL</t>
        </is>
      </c>
      <c r="G4059" t="n">
        <v>5.8</v>
      </c>
      <c r="H4059" t="n">
        <v>0</v>
      </c>
      <c r="I4059" t="n">
        <v>0</v>
      </c>
      <c r="J4059" t="n">
        <v>0</v>
      </c>
      <c r="K4059" t="n">
        <v>0</v>
      </c>
      <c r="L4059" t="n">
        <v>0</v>
      </c>
      <c r="M4059" t="n">
        <v>0</v>
      </c>
      <c r="N4059" t="n">
        <v>0</v>
      </c>
      <c r="O4059" t="n">
        <v>0</v>
      </c>
      <c r="P4059" t="n">
        <v>0</v>
      </c>
      <c r="Q4059" t="n">
        <v>0</v>
      </c>
      <c r="R4059" s="2" t="inlineStr"/>
    </row>
    <row r="4060" ht="15" customHeight="1">
      <c r="A4060" t="inlineStr">
        <is>
          <t>A 5402-2020</t>
        </is>
      </c>
      <c r="B4060" s="1" t="n">
        <v>43860</v>
      </c>
      <c r="C4060" s="1" t="n">
        <v>45227</v>
      </c>
      <c r="D4060" t="inlineStr">
        <is>
          <t>VÄSTRA GÖTALANDS LÄN</t>
        </is>
      </c>
      <c r="E4060" t="inlineStr">
        <is>
          <t>SKARA</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5142-2020</t>
        </is>
      </c>
      <c r="B4061" s="1" t="n">
        <v>43860</v>
      </c>
      <c r="C4061" s="1" t="n">
        <v>45227</v>
      </c>
      <c r="D4061" t="inlineStr">
        <is>
          <t>VÄSTRA GÖTALANDS LÄN</t>
        </is>
      </c>
      <c r="E4061" t="inlineStr">
        <is>
          <t>ULRICEHAMN</t>
        </is>
      </c>
      <c r="F4061" t="inlineStr">
        <is>
          <t>Sveaskog</t>
        </is>
      </c>
      <c r="G4061" t="n">
        <v>11.4</v>
      </c>
      <c r="H4061" t="n">
        <v>0</v>
      </c>
      <c r="I4061" t="n">
        <v>0</v>
      </c>
      <c r="J4061" t="n">
        <v>0</v>
      </c>
      <c r="K4061" t="n">
        <v>0</v>
      </c>
      <c r="L4061" t="n">
        <v>0</v>
      </c>
      <c r="M4061" t="n">
        <v>0</v>
      </c>
      <c r="N4061" t="n">
        <v>0</v>
      </c>
      <c r="O4061" t="n">
        <v>0</v>
      </c>
      <c r="P4061" t="n">
        <v>0</v>
      </c>
      <c r="Q4061" t="n">
        <v>0</v>
      </c>
      <c r="R4061" s="2" t="inlineStr"/>
    </row>
    <row r="4062" ht="15" customHeight="1">
      <c r="A4062" t="inlineStr">
        <is>
          <t>A 5271-2020</t>
        </is>
      </c>
      <c r="B4062" s="1" t="n">
        <v>43860</v>
      </c>
      <c r="C4062" s="1" t="n">
        <v>45227</v>
      </c>
      <c r="D4062" t="inlineStr">
        <is>
          <t>VÄSTRA GÖTALANDS LÄN</t>
        </is>
      </c>
      <c r="E4062" t="inlineStr">
        <is>
          <t>MARK</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5287-2020</t>
        </is>
      </c>
      <c r="B4063" s="1" t="n">
        <v>43860</v>
      </c>
      <c r="C4063" s="1" t="n">
        <v>45227</v>
      </c>
      <c r="D4063" t="inlineStr">
        <is>
          <t>VÄSTRA GÖTALANDS LÄN</t>
        </is>
      </c>
      <c r="E4063" t="inlineStr">
        <is>
          <t>MARK</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5398-2020</t>
        </is>
      </c>
      <c r="B4064" s="1" t="n">
        <v>43860</v>
      </c>
      <c r="C4064" s="1" t="n">
        <v>45227</v>
      </c>
      <c r="D4064" t="inlineStr">
        <is>
          <t>VÄSTRA GÖTALANDS LÄN</t>
        </is>
      </c>
      <c r="E4064" t="inlineStr">
        <is>
          <t>SKARA</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5139-2020</t>
        </is>
      </c>
      <c r="B4065" s="1" t="n">
        <v>43860</v>
      </c>
      <c r="C4065" s="1" t="n">
        <v>45227</v>
      </c>
      <c r="D4065" t="inlineStr">
        <is>
          <t>VÄSTRA GÖTALANDS LÄN</t>
        </is>
      </c>
      <c r="E4065" t="inlineStr">
        <is>
          <t>ULRICEHAMN</t>
        </is>
      </c>
      <c r="F4065" t="inlineStr">
        <is>
          <t>Sveaskog</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5285-2020</t>
        </is>
      </c>
      <c r="B4066" s="1" t="n">
        <v>43860</v>
      </c>
      <c r="C4066" s="1" t="n">
        <v>45227</v>
      </c>
      <c r="D4066" t="inlineStr">
        <is>
          <t>VÄSTRA GÖTALANDS LÄN</t>
        </is>
      </c>
      <c r="E4066" t="inlineStr">
        <is>
          <t>MARK</t>
        </is>
      </c>
      <c r="G4066" t="n">
        <v>8.800000000000001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5410-2020</t>
        </is>
      </c>
      <c r="B4067" s="1" t="n">
        <v>43860</v>
      </c>
      <c r="C4067" s="1" t="n">
        <v>45227</v>
      </c>
      <c r="D4067" t="inlineStr">
        <is>
          <t>VÄSTRA GÖTALANDS LÄN</t>
        </is>
      </c>
      <c r="E4067" t="inlineStr">
        <is>
          <t>VARA</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5593-2020</t>
        </is>
      </c>
      <c r="B4068" s="1" t="n">
        <v>43861</v>
      </c>
      <c r="C4068" s="1" t="n">
        <v>45227</v>
      </c>
      <c r="D4068" t="inlineStr">
        <is>
          <t>VÄSTRA GÖTALANDS LÄN</t>
        </is>
      </c>
      <c r="E4068" t="inlineStr">
        <is>
          <t>ULRICEHAMN</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5625-2020</t>
        </is>
      </c>
      <c r="B4069" s="1" t="n">
        <v>43861</v>
      </c>
      <c r="C4069" s="1" t="n">
        <v>45227</v>
      </c>
      <c r="D4069" t="inlineStr">
        <is>
          <t>VÄSTRA GÖTALANDS LÄN</t>
        </is>
      </c>
      <c r="E4069" t="inlineStr">
        <is>
          <t>TROLLHÄTTAN</t>
        </is>
      </c>
      <c r="F4069" t="inlineStr">
        <is>
          <t>Kommuner</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5762-2020</t>
        </is>
      </c>
      <c r="B4070" s="1" t="n">
        <v>43861</v>
      </c>
      <c r="C4070" s="1" t="n">
        <v>45227</v>
      </c>
      <c r="D4070" t="inlineStr">
        <is>
          <t>VÄSTRA GÖTALANDS LÄN</t>
        </is>
      </c>
      <c r="E4070" t="inlineStr">
        <is>
          <t>GULLSPÅNG</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5895-2020</t>
        </is>
      </c>
      <c r="B4071" s="1" t="n">
        <v>43861</v>
      </c>
      <c r="C4071" s="1" t="n">
        <v>45227</v>
      </c>
      <c r="D4071" t="inlineStr">
        <is>
          <t>VÄSTRA GÖTALANDS LÄN</t>
        </is>
      </c>
      <c r="E4071" t="inlineStr">
        <is>
          <t>MUNKEDAL</t>
        </is>
      </c>
      <c r="F4071" t="inlineStr">
        <is>
          <t>Övriga Aktiebolag</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5674-2020</t>
        </is>
      </c>
      <c r="B4072" s="1" t="n">
        <v>43861</v>
      </c>
      <c r="C4072" s="1" t="n">
        <v>45227</v>
      </c>
      <c r="D4072" t="inlineStr">
        <is>
          <t>VÄSTRA GÖTALANDS LÄN</t>
        </is>
      </c>
      <c r="E4072" t="inlineStr">
        <is>
          <t>BOLLEBYGD</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5769-2020</t>
        </is>
      </c>
      <c r="B4073" s="1" t="n">
        <v>43861</v>
      </c>
      <c r="C4073" s="1" t="n">
        <v>45227</v>
      </c>
      <c r="D4073" t="inlineStr">
        <is>
          <t>VÄSTRA GÖTALANDS LÄN</t>
        </is>
      </c>
      <c r="E4073" t="inlineStr">
        <is>
          <t>GULLSPÅNG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5577-2020</t>
        </is>
      </c>
      <c r="B4074" s="1" t="n">
        <v>43861</v>
      </c>
      <c r="C4074" s="1" t="n">
        <v>45227</v>
      </c>
      <c r="D4074" t="inlineStr">
        <is>
          <t>VÄSTRA GÖTALANDS LÄN</t>
        </is>
      </c>
      <c r="E4074" t="inlineStr">
        <is>
          <t>ULRICEHAMN</t>
        </is>
      </c>
      <c r="G4074" t="n">
        <v>12.9</v>
      </c>
      <c r="H4074" t="n">
        <v>0</v>
      </c>
      <c r="I4074" t="n">
        <v>0</v>
      </c>
      <c r="J4074" t="n">
        <v>0</v>
      </c>
      <c r="K4074" t="n">
        <v>0</v>
      </c>
      <c r="L4074" t="n">
        <v>0</v>
      </c>
      <c r="M4074" t="n">
        <v>0</v>
      </c>
      <c r="N4074" t="n">
        <v>0</v>
      </c>
      <c r="O4074" t="n">
        <v>0</v>
      </c>
      <c r="P4074" t="n">
        <v>0</v>
      </c>
      <c r="Q4074" t="n">
        <v>0</v>
      </c>
      <c r="R4074" s="2" t="inlineStr"/>
    </row>
    <row r="4075" ht="15" customHeight="1">
      <c r="A4075" t="inlineStr">
        <is>
          <t>A 5624-2020</t>
        </is>
      </c>
      <c r="B4075" s="1" t="n">
        <v>43861</v>
      </c>
      <c r="C4075" s="1" t="n">
        <v>45227</v>
      </c>
      <c r="D4075" t="inlineStr">
        <is>
          <t>VÄSTRA GÖTALANDS LÄN</t>
        </is>
      </c>
      <c r="E4075" t="inlineStr">
        <is>
          <t>TROLLHÄTTAN</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5679-2020</t>
        </is>
      </c>
      <c r="B4076" s="1" t="n">
        <v>43861</v>
      </c>
      <c r="C4076" s="1" t="n">
        <v>45227</v>
      </c>
      <c r="D4076" t="inlineStr">
        <is>
          <t>VÄSTRA GÖTALANDS LÄN</t>
        </is>
      </c>
      <c r="E4076" t="inlineStr">
        <is>
          <t>BOLLEBYGD</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5893-2020</t>
        </is>
      </c>
      <c r="B4077" s="1" t="n">
        <v>43861</v>
      </c>
      <c r="C4077" s="1" t="n">
        <v>45227</v>
      </c>
      <c r="D4077" t="inlineStr">
        <is>
          <t>VÄSTRA GÖTALANDS LÄN</t>
        </is>
      </c>
      <c r="E4077" t="inlineStr">
        <is>
          <t>MUNKEDAL</t>
        </is>
      </c>
      <c r="F4077" t="inlineStr">
        <is>
          <t>Övriga Aktiebolag</t>
        </is>
      </c>
      <c r="G4077" t="n">
        <v>0.1</v>
      </c>
      <c r="H4077" t="n">
        <v>0</v>
      </c>
      <c r="I4077" t="n">
        <v>0</v>
      </c>
      <c r="J4077" t="n">
        <v>0</v>
      </c>
      <c r="K4077" t="n">
        <v>0</v>
      </c>
      <c r="L4077" t="n">
        <v>0</v>
      </c>
      <c r="M4077" t="n">
        <v>0</v>
      </c>
      <c r="N4077" t="n">
        <v>0</v>
      </c>
      <c r="O4077" t="n">
        <v>0</v>
      </c>
      <c r="P4077" t="n">
        <v>0</v>
      </c>
      <c r="Q4077" t="n">
        <v>0</v>
      </c>
      <c r="R4077" s="2" t="inlineStr"/>
    </row>
    <row r="4078" ht="15" customHeight="1">
      <c r="A4078" t="inlineStr">
        <is>
          <t>A 5496-2020</t>
        </is>
      </c>
      <c r="B4078" s="1" t="n">
        <v>43861</v>
      </c>
      <c r="C4078" s="1" t="n">
        <v>45227</v>
      </c>
      <c r="D4078" t="inlineStr">
        <is>
          <t>VÄSTRA GÖTALANDS LÄN</t>
        </is>
      </c>
      <c r="E4078" t="inlineStr">
        <is>
          <t>TJÖRN</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5659-2020</t>
        </is>
      </c>
      <c r="B4079" s="1" t="n">
        <v>43861</v>
      </c>
      <c r="C4079" s="1" t="n">
        <v>45227</v>
      </c>
      <c r="D4079" t="inlineStr">
        <is>
          <t>VÄSTRA GÖTALANDS LÄN</t>
        </is>
      </c>
      <c r="E4079" t="inlineStr">
        <is>
          <t>BOLLEBYGD</t>
        </is>
      </c>
      <c r="G4079" t="n">
        <v>7.6</v>
      </c>
      <c r="H4079" t="n">
        <v>0</v>
      </c>
      <c r="I4079" t="n">
        <v>0</v>
      </c>
      <c r="J4079" t="n">
        <v>0</v>
      </c>
      <c r="K4079" t="n">
        <v>0</v>
      </c>
      <c r="L4079" t="n">
        <v>0</v>
      </c>
      <c r="M4079" t="n">
        <v>0</v>
      </c>
      <c r="N4079" t="n">
        <v>0</v>
      </c>
      <c r="O4079" t="n">
        <v>0</v>
      </c>
      <c r="P4079" t="n">
        <v>0</v>
      </c>
      <c r="Q4079" t="n">
        <v>0</v>
      </c>
      <c r="R4079" s="2" t="inlineStr"/>
    </row>
    <row r="4080" ht="15" customHeight="1">
      <c r="A4080" t="inlineStr">
        <is>
          <t>A 5669-2020</t>
        </is>
      </c>
      <c r="B4080" s="1" t="n">
        <v>43861</v>
      </c>
      <c r="C4080" s="1" t="n">
        <v>45227</v>
      </c>
      <c r="D4080" t="inlineStr">
        <is>
          <t>VÄSTRA GÖTALANDS LÄN</t>
        </is>
      </c>
      <c r="E4080" t="inlineStr">
        <is>
          <t>ESSUNGA</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5843-2020</t>
        </is>
      </c>
      <c r="B4081" s="1" t="n">
        <v>43864</v>
      </c>
      <c r="C4081" s="1" t="n">
        <v>45227</v>
      </c>
      <c r="D4081" t="inlineStr">
        <is>
          <t>VÄSTRA GÖTALANDS LÄN</t>
        </is>
      </c>
      <c r="E4081" t="inlineStr">
        <is>
          <t>BENGTSFORS</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5862-2020</t>
        </is>
      </c>
      <c r="B4082" s="1" t="n">
        <v>43864</v>
      </c>
      <c r="C4082" s="1" t="n">
        <v>45227</v>
      </c>
      <c r="D4082" t="inlineStr">
        <is>
          <t>VÄSTRA GÖTALANDS LÄN</t>
        </is>
      </c>
      <c r="E4082" t="inlineStr">
        <is>
          <t>UDDEVALLA</t>
        </is>
      </c>
      <c r="F4082" t="inlineStr">
        <is>
          <t>Kyrkan</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5751-2020</t>
        </is>
      </c>
      <c r="B4083" s="1" t="n">
        <v>43864</v>
      </c>
      <c r="C4083" s="1" t="n">
        <v>45227</v>
      </c>
      <c r="D4083" t="inlineStr">
        <is>
          <t>VÄSTRA GÖTALANDS LÄN</t>
        </is>
      </c>
      <c r="E4083" t="inlineStr">
        <is>
          <t>BOLLEBYGD</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5835-2020</t>
        </is>
      </c>
      <c r="B4084" s="1" t="n">
        <v>43864</v>
      </c>
      <c r="C4084" s="1" t="n">
        <v>45227</v>
      </c>
      <c r="D4084" t="inlineStr">
        <is>
          <t>VÄSTRA GÖTALANDS LÄN</t>
        </is>
      </c>
      <c r="E4084" t="inlineStr">
        <is>
          <t>BENGTSFORS</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5847-2020</t>
        </is>
      </c>
      <c r="B4085" s="1" t="n">
        <v>43864</v>
      </c>
      <c r="C4085" s="1" t="n">
        <v>45227</v>
      </c>
      <c r="D4085" t="inlineStr">
        <is>
          <t>VÄSTRA GÖTALANDS LÄN</t>
        </is>
      </c>
      <c r="E4085" t="inlineStr">
        <is>
          <t>ALINGSÅS</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5977-2020</t>
        </is>
      </c>
      <c r="B4086" s="1" t="n">
        <v>43864</v>
      </c>
      <c r="C4086" s="1" t="n">
        <v>45227</v>
      </c>
      <c r="D4086" t="inlineStr">
        <is>
          <t>VÄSTRA GÖTALANDS LÄN</t>
        </is>
      </c>
      <c r="E4086" t="inlineStr">
        <is>
          <t>VARA</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5877-2020</t>
        </is>
      </c>
      <c r="B4087" s="1" t="n">
        <v>43864</v>
      </c>
      <c r="C4087" s="1" t="n">
        <v>45227</v>
      </c>
      <c r="D4087" t="inlineStr">
        <is>
          <t>VÄSTRA GÖTALANDS LÄN</t>
        </is>
      </c>
      <c r="E4087" t="inlineStr">
        <is>
          <t>SKÖVDE</t>
        </is>
      </c>
      <c r="F4087" t="inlineStr">
        <is>
          <t>Kommuner</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5991-2020</t>
        </is>
      </c>
      <c r="B4088" s="1" t="n">
        <v>43864</v>
      </c>
      <c r="C4088" s="1" t="n">
        <v>45227</v>
      </c>
      <c r="D4088" t="inlineStr">
        <is>
          <t>VÄSTRA GÖTALANDS LÄN</t>
        </is>
      </c>
      <c r="E4088" t="inlineStr">
        <is>
          <t>BENGTSFORS</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6109-2020</t>
        </is>
      </c>
      <c r="B4089" s="1" t="n">
        <v>43864</v>
      </c>
      <c r="C4089" s="1" t="n">
        <v>45227</v>
      </c>
      <c r="D4089" t="inlineStr">
        <is>
          <t>VÄSTRA GÖTALANDS LÄN</t>
        </is>
      </c>
      <c r="E4089" t="inlineStr">
        <is>
          <t>BENGTSFORS</t>
        </is>
      </c>
      <c r="G4089" t="n">
        <v>3</v>
      </c>
      <c r="H4089" t="n">
        <v>0</v>
      </c>
      <c r="I4089" t="n">
        <v>0</v>
      </c>
      <c r="J4089" t="n">
        <v>0</v>
      </c>
      <c r="K4089" t="n">
        <v>0</v>
      </c>
      <c r="L4089" t="n">
        <v>0</v>
      </c>
      <c r="M4089" t="n">
        <v>0</v>
      </c>
      <c r="N4089" t="n">
        <v>0</v>
      </c>
      <c r="O4089" t="n">
        <v>0</v>
      </c>
      <c r="P4089" t="n">
        <v>0</v>
      </c>
      <c r="Q4089" t="n">
        <v>0</v>
      </c>
      <c r="R4089" s="2" t="inlineStr"/>
    </row>
    <row r="4090" ht="15" customHeight="1">
      <c r="A4090" t="inlineStr">
        <is>
          <t>A 6401-2020</t>
        </is>
      </c>
      <c r="B4090" s="1" t="n">
        <v>43864</v>
      </c>
      <c r="C4090" s="1" t="n">
        <v>45227</v>
      </c>
      <c r="D4090" t="inlineStr">
        <is>
          <t>VÄSTRA GÖTALANDS LÄN</t>
        </is>
      </c>
      <c r="E4090" t="inlineStr">
        <is>
          <t>VARA</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5978-2020</t>
        </is>
      </c>
      <c r="B4091" s="1" t="n">
        <v>43865</v>
      </c>
      <c r="C4091" s="1" t="n">
        <v>45227</v>
      </c>
      <c r="D4091" t="inlineStr">
        <is>
          <t>VÄSTRA GÖTALANDS LÄN</t>
        </is>
      </c>
      <c r="E4091" t="inlineStr">
        <is>
          <t>MARIESTAD</t>
        </is>
      </c>
      <c r="F4091" t="inlineStr">
        <is>
          <t>Sveaskog</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6108-2020</t>
        </is>
      </c>
      <c r="B4092" s="1" t="n">
        <v>43865</v>
      </c>
      <c r="C4092" s="1" t="n">
        <v>45227</v>
      </c>
      <c r="D4092" t="inlineStr">
        <is>
          <t>VÄSTRA GÖTALANDS LÄN</t>
        </is>
      </c>
      <c r="E4092" t="inlineStr">
        <is>
          <t>BENGTSFORS</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6168-2020</t>
        </is>
      </c>
      <c r="B4093" s="1" t="n">
        <v>43865</v>
      </c>
      <c r="C4093" s="1" t="n">
        <v>45227</v>
      </c>
      <c r="D4093" t="inlineStr">
        <is>
          <t>VÄSTRA GÖTALANDS LÄN</t>
        </is>
      </c>
      <c r="E4093" t="inlineStr">
        <is>
          <t>HÄRRYDA</t>
        </is>
      </c>
      <c r="G4093" t="n">
        <v>5</v>
      </c>
      <c r="H4093" t="n">
        <v>0</v>
      </c>
      <c r="I4093" t="n">
        <v>0</v>
      </c>
      <c r="J4093" t="n">
        <v>0</v>
      </c>
      <c r="K4093" t="n">
        <v>0</v>
      </c>
      <c r="L4093" t="n">
        <v>0</v>
      </c>
      <c r="M4093" t="n">
        <v>0</v>
      </c>
      <c r="N4093" t="n">
        <v>0</v>
      </c>
      <c r="O4093" t="n">
        <v>0</v>
      </c>
      <c r="P4093" t="n">
        <v>0</v>
      </c>
      <c r="Q4093" t="n">
        <v>0</v>
      </c>
      <c r="R4093" s="2" t="inlineStr"/>
    </row>
    <row r="4094" ht="15" customHeight="1">
      <c r="A4094" t="inlineStr">
        <is>
          <t>A 6686-2020</t>
        </is>
      </c>
      <c r="B4094" s="1" t="n">
        <v>43865</v>
      </c>
      <c r="C4094" s="1" t="n">
        <v>45227</v>
      </c>
      <c r="D4094" t="inlineStr">
        <is>
          <t>VÄSTRA GÖTALANDS LÄN</t>
        </is>
      </c>
      <c r="E4094" t="inlineStr">
        <is>
          <t>VÄNERSBORG</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5980-2020</t>
        </is>
      </c>
      <c r="B4095" s="1" t="n">
        <v>43865</v>
      </c>
      <c r="C4095" s="1" t="n">
        <v>45227</v>
      </c>
      <c r="D4095" t="inlineStr">
        <is>
          <t>VÄSTRA GÖTALANDS LÄN</t>
        </is>
      </c>
      <c r="E4095" t="inlineStr">
        <is>
          <t>SKARA</t>
        </is>
      </c>
      <c r="F4095" t="inlineStr">
        <is>
          <t>Sveaskog</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6155-2020</t>
        </is>
      </c>
      <c r="B4096" s="1" t="n">
        <v>43865</v>
      </c>
      <c r="C4096" s="1" t="n">
        <v>45227</v>
      </c>
      <c r="D4096" t="inlineStr">
        <is>
          <t>VÄSTRA GÖTALANDS LÄN</t>
        </is>
      </c>
      <c r="E4096" t="inlineStr">
        <is>
          <t>TANUM</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6172-2020</t>
        </is>
      </c>
      <c r="B4097" s="1" t="n">
        <v>43865</v>
      </c>
      <c r="C4097" s="1" t="n">
        <v>45227</v>
      </c>
      <c r="D4097" t="inlineStr">
        <is>
          <t>VÄSTRA GÖTALANDS LÄN</t>
        </is>
      </c>
      <c r="E4097" t="inlineStr">
        <is>
          <t>TANUM</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6415-2020</t>
        </is>
      </c>
      <c r="B4098" s="1" t="n">
        <v>43865</v>
      </c>
      <c r="C4098" s="1" t="n">
        <v>45227</v>
      </c>
      <c r="D4098" t="inlineStr">
        <is>
          <t>VÄSTRA GÖTALANDS LÄN</t>
        </is>
      </c>
      <c r="E4098" t="inlineStr">
        <is>
          <t>LILLA EDET</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5986-2020</t>
        </is>
      </c>
      <c r="B4099" s="1" t="n">
        <v>43865</v>
      </c>
      <c r="C4099" s="1" t="n">
        <v>45227</v>
      </c>
      <c r="D4099" t="inlineStr">
        <is>
          <t>VÄSTRA GÖTALANDS LÄN</t>
        </is>
      </c>
      <c r="E4099" t="inlineStr">
        <is>
          <t>SKARA</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6047-2020</t>
        </is>
      </c>
      <c r="B4100" s="1" t="n">
        <v>43865</v>
      </c>
      <c r="C4100" s="1" t="n">
        <v>45227</v>
      </c>
      <c r="D4100" t="inlineStr">
        <is>
          <t>VÄSTRA GÖTALANDS LÄN</t>
        </is>
      </c>
      <c r="E4100" t="inlineStr">
        <is>
          <t>HERRLJUNGA</t>
        </is>
      </c>
      <c r="G4100" t="n">
        <v>5.5</v>
      </c>
      <c r="H4100" t="n">
        <v>0</v>
      </c>
      <c r="I4100" t="n">
        <v>0</v>
      </c>
      <c r="J4100" t="n">
        <v>0</v>
      </c>
      <c r="K4100" t="n">
        <v>0</v>
      </c>
      <c r="L4100" t="n">
        <v>0</v>
      </c>
      <c r="M4100" t="n">
        <v>0</v>
      </c>
      <c r="N4100" t="n">
        <v>0</v>
      </c>
      <c r="O4100" t="n">
        <v>0</v>
      </c>
      <c r="P4100" t="n">
        <v>0</v>
      </c>
      <c r="Q4100" t="n">
        <v>0</v>
      </c>
      <c r="R4100" s="2" t="inlineStr"/>
    </row>
    <row r="4101" ht="15" customHeight="1">
      <c r="A4101" t="inlineStr">
        <is>
          <t>A 6111-2020</t>
        </is>
      </c>
      <c r="B4101" s="1" t="n">
        <v>43865</v>
      </c>
      <c r="C4101" s="1" t="n">
        <v>45227</v>
      </c>
      <c r="D4101" t="inlineStr">
        <is>
          <t>VÄSTRA GÖTALANDS LÄN</t>
        </is>
      </c>
      <c r="E4101" t="inlineStr">
        <is>
          <t>ULRICEHAMN</t>
        </is>
      </c>
      <c r="F4101" t="inlineStr">
        <is>
          <t>Kyrkan</t>
        </is>
      </c>
      <c r="G4101" t="n">
        <v>2.5</v>
      </c>
      <c r="H4101" t="n">
        <v>0</v>
      </c>
      <c r="I4101" t="n">
        <v>0</v>
      </c>
      <c r="J4101" t="n">
        <v>0</v>
      </c>
      <c r="K4101" t="n">
        <v>0</v>
      </c>
      <c r="L4101" t="n">
        <v>0</v>
      </c>
      <c r="M4101" t="n">
        <v>0</v>
      </c>
      <c r="N4101" t="n">
        <v>0</v>
      </c>
      <c r="O4101" t="n">
        <v>0</v>
      </c>
      <c r="P4101" t="n">
        <v>0</v>
      </c>
      <c r="Q4101" t="n">
        <v>0</v>
      </c>
      <c r="R4101" s="2" t="inlineStr"/>
    </row>
    <row r="4102" ht="15" customHeight="1">
      <c r="A4102" t="inlineStr">
        <is>
          <t>A 6398-2020</t>
        </is>
      </c>
      <c r="B4102" s="1" t="n">
        <v>43865</v>
      </c>
      <c r="C4102" s="1" t="n">
        <v>45227</v>
      </c>
      <c r="D4102" t="inlineStr">
        <is>
          <t>VÄSTRA GÖTALANDS LÄN</t>
        </is>
      </c>
      <c r="E4102" t="inlineStr">
        <is>
          <t>LILLA EDET</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6070-2020</t>
        </is>
      </c>
      <c r="B4103" s="1" t="n">
        <v>43865</v>
      </c>
      <c r="C4103" s="1" t="n">
        <v>45227</v>
      </c>
      <c r="D4103" t="inlineStr">
        <is>
          <t>VÄSTRA GÖTALANDS LÄN</t>
        </is>
      </c>
      <c r="E4103" t="inlineStr">
        <is>
          <t>MARIESTAD</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6423-2020</t>
        </is>
      </c>
      <c r="B4104" s="1" t="n">
        <v>43865</v>
      </c>
      <c r="C4104" s="1" t="n">
        <v>45227</v>
      </c>
      <c r="D4104" t="inlineStr">
        <is>
          <t>VÄSTRA GÖTALANDS LÄN</t>
        </is>
      </c>
      <c r="E4104" t="inlineStr">
        <is>
          <t>SKÖVDE</t>
        </is>
      </c>
      <c r="G4104" t="n">
        <v>7</v>
      </c>
      <c r="H4104" t="n">
        <v>0</v>
      </c>
      <c r="I4104" t="n">
        <v>0</v>
      </c>
      <c r="J4104" t="n">
        <v>0</v>
      </c>
      <c r="K4104" t="n">
        <v>0</v>
      </c>
      <c r="L4104" t="n">
        <v>0</v>
      </c>
      <c r="M4104" t="n">
        <v>0</v>
      </c>
      <c r="N4104" t="n">
        <v>0</v>
      </c>
      <c r="O4104" t="n">
        <v>0</v>
      </c>
      <c r="P4104" t="n">
        <v>0</v>
      </c>
      <c r="Q4104" t="n">
        <v>0</v>
      </c>
      <c r="R4104" s="2" t="inlineStr"/>
    </row>
    <row r="4105" ht="15" customHeight="1">
      <c r="A4105" t="inlineStr">
        <is>
          <t>A 6596-2020</t>
        </is>
      </c>
      <c r="B4105" s="1" t="n">
        <v>43865</v>
      </c>
      <c r="C4105" s="1" t="n">
        <v>45227</v>
      </c>
      <c r="D4105" t="inlineStr">
        <is>
          <t>VÄSTRA GÖTALANDS LÄN</t>
        </is>
      </c>
      <c r="E4105" t="inlineStr">
        <is>
          <t>KARLSBORG</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6432-2020</t>
        </is>
      </c>
      <c r="B4106" s="1" t="n">
        <v>43866</v>
      </c>
      <c r="C4106" s="1" t="n">
        <v>45227</v>
      </c>
      <c r="D4106" t="inlineStr">
        <is>
          <t>VÄSTRA GÖTALANDS LÄN</t>
        </is>
      </c>
      <c r="E4106" t="inlineStr">
        <is>
          <t>UDDEVALLA</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6259-2020</t>
        </is>
      </c>
      <c r="B4107" s="1" t="n">
        <v>43866</v>
      </c>
      <c r="C4107" s="1" t="n">
        <v>45227</v>
      </c>
      <c r="D4107" t="inlineStr">
        <is>
          <t>VÄSTRA GÖTALANDS LÄN</t>
        </is>
      </c>
      <c r="E4107" t="inlineStr">
        <is>
          <t>TÖREBODA</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6352-2020</t>
        </is>
      </c>
      <c r="B4108" s="1" t="n">
        <v>43866</v>
      </c>
      <c r="C4108" s="1" t="n">
        <v>45227</v>
      </c>
      <c r="D4108" t="inlineStr">
        <is>
          <t>VÄSTRA GÖTALANDS LÄN</t>
        </is>
      </c>
      <c r="E4108" t="inlineStr">
        <is>
          <t>MARIESTAD</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6382-2020</t>
        </is>
      </c>
      <c r="B4109" s="1" t="n">
        <v>43866</v>
      </c>
      <c r="C4109" s="1" t="n">
        <v>45227</v>
      </c>
      <c r="D4109" t="inlineStr">
        <is>
          <t>VÄSTRA GÖTALANDS LÄN</t>
        </is>
      </c>
      <c r="E4109" t="inlineStr">
        <is>
          <t>MARIESTAD</t>
        </is>
      </c>
      <c r="G4109" t="n">
        <v>2.5</v>
      </c>
      <c r="H4109" t="n">
        <v>0</v>
      </c>
      <c r="I4109" t="n">
        <v>0</v>
      </c>
      <c r="J4109" t="n">
        <v>0</v>
      </c>
      <c r="K4109" t="n">
        <v>0</v>
      </c>
      <c r="L4109" t="n">
        <v>0</v>
      </c>
      <c r="M4109" t="n">
        <v>0</v>
      </c>
      <c r="N4109" t="n">
        <v>0</v>
      </c>
      <c r="O4109" t="n">
        <v>0</v>
      </c>
      <c r="P4109" t="n">
        <v>0</v>
      </c>
      <c r="Q4109" t="n">
        <v>0</v>
      </c>
      <c r="R4109" s="2" t="inlineStr"/>
    </row>
    <row r="4110" ht="15" customHeight="1">
      <c r="A4110" t="inlineStr">
        <is>
          <t>A 6447-2020</t>
        </is>
      </c>
      <c r="B4110" s="1" t="n">
        <v>43866</v>
      </c>
      <c r="C4110" s="1" t="n">
        <v>45227</v>
      </c>
      <c r="D4110" t="inlineStr">
        <is>
          <t>VÄSTRA GÖTALANDS LÄN</t>
        </is>
      </c>
      <c r="E4110" t="inlineStr">
        <is>
          <t>FALKÖPING</t>
        </is>
      </c>
      <c r="F4110" t="inlineStr">
        <is>
          <t>Sveaskog</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6362-2020</t>
        </is>
      </c>
      <c r="B4111" s="1" t="n">
        <v>43866</v>
      </c>
      <c r="C4111" s="1" t="n">
        <v>45227</v>
      </c>
      <c r="D4111" t="inlineStr">
        <is>
          <t>VÄSTRA GÖTALANDS LÄN</t>
        </is>
      </c>
      <c r="E4111" t="inlineStr">
        <is>
          <t>TROLLHÄTTAN</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6475-2020</t>
        </is>
      </c>
      <c r="B4112" s="1" t="n">
        <v>43866</v>
      </c>
      <c r="C4112" s="1" t="n">
        <v>45227</v>
      </c>
      <c r="D4112" t="inlineStr">
        <is>
          <t>VÄSTRA GÖTALANDS LÄN</t>
        </is>
      </c>
      <c r="E4112" t="inlineStr">
        <is>
          <t>LILLA EDET</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6322-2020</t>
        </is>
      </c>
      <c r="B4113" s="1" t="n">
        <v>43866</v>
      </c>
      <c r="C4113" s="1" t="n">
        <v>45227</v>
      </c>
      <c r="D4113" t="inlineStr">
        <is>
          <t>VÄSTRA GÖTALANDS LÄN</t>
        </is>
      </c>
      <c r="E4113" t="inlineStr">
        <is>
          <t>DALS-ED</t>
        </is>
      </c>
      <c r="G4113" t="n">
        <v>7.4</v>
      </c>
      <c r="H4113" t="n">
        <v>0</v>
      </c>
      <c r="I4113" t="n">
        <v>0</v>
      </c>
      <c r="J4113" t="n">
        <v>0</v>
      </c>
      <c r="K4113" t="n">
        <v>0</v>
      </c>
      <c r="L4113" t="n">
        <v>0</v>
      </c>
      <c r="M4113" t="n">
        <v>0</v>
      </c>
      <c r="N4113" t="n">
        <v>0</v>
      </c>
      <c r="O4113" t="n">
        <v>0</v>
      </c>
      <c r="P4113" t="n">
        <v>0</v>
      </c>
      <c r="Q4113" t="n">
        <v>0</v>
      </c>
      <c r="R4113" s="2" t="inlineStr"/>
    </row>
    <row r="4114" ht="15" customHeight="1">
      <c r="A4114" t="inlineStr">
        <is>
          <t>A 6407-2020</t>
        </is>
      </c>
      <c r="B4114" s="1" t="n">
        <v>43866</v>
      </c>
      <c r="C4114" s="1" t="n">
        <v>45227</v>
      </c>
      <c r="D4114" t="inlineStr">
        <is>
          <t>VÄSTRA GÖTALANDS LÄN</t>
        </is>
      </c>
      <c r="E4114" t="inlineStr">
        <is>
          <t>LIDKÖPING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6760-2020</t>
        </is>
      </c>
      <c r="B4115" s="1" t="n">
        <v>43866</v>
      </c>
      <c r="C4115" s="1" t="n">
        <v>45227</v>
      </c>
      <c r="D4115" t="inlineStr">
        <is>
          <t>VÄSTRA GÖTALANDS LÄN</t>
        </is>
      </c>
      <c r="E4115" t="inlineStr">
        <is>
          <t>SKÖVDE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6594-2020</t>
        </is>
      </c>
      <c r="B4116" s="1" t="n">
        <v>43867</v>
      </c>
      <c r="C4116" s="1" t="n">
        <v>45227</v>
      </c>
      <c r="D4116" t="inlineStr">
        <is>
          <t>VÄSTRA GÖTALANDS LÄN</t>
        </is>
      </c>
      <c r="E4116" t="inlineStr">
        <is>
          <t>SVENLJUNGA</t>
        </is>
      </c>
      <c r="G4116" t="n">
        <v>9.800000000000001</v>
      </c>
      <c r="H4116" t="n">
        <v>0</v>
      </c>
      <c r="I4116" t="n">
        <v>0</v>
      </c>
      <c r="J4116" t="n">
        <v>0</v>
      </c>
      <c r="K4116" t="n">
        <v>0</v>
      </c>
      <c r="L4116" t="n">
        <v>0</v>
      </c>
      <c r="M4116" t="n">
        <v>0</v>
      </c>
      <c r="N4116" t="n">
        <v>0</v>
      </c>
      <c r="O4116" t="n">
        <v>0</v>
      </c>
      <c r="P4116" t="n">
        <v>0</v>
      </c>
      <c r="Q4116" t="n">
        <v>0</v>
      </c>
      <c r="R4116" s="2" t="inlineStr"/>
    </row>
    <row r="4117" ht="15" customHeight="1">
      <c r="A4117" t="inlineStr">
        <is>
          <t>A 6705-2020</t>
        </is>
      </c>
      <c r="B4117" s="1" t="n">
        <v>43867</v>
      </c>
      <c r="C4117" s="1" t="n">
        <v>45227</v>
      </c>
      <c r="D4117" t="inlineStr">
        <is>
          <t>VÄSTRA GÖTALANDS LÄN</t>
        </is>
      </c>
      <c r="E4117" t="inlineStr">
        <is>
          <t>ÅMÅL</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6741-2020</t>
        </is>
      </c>
      <c r="B4118" s="1" t="n">
        <v>43867</v>
      </c>
      <c r="C4118" s="1" t="n">
        <v>45227</v>
      </c>
      <c r="D4118" t="inlineStr">
        <is>
          <t>VÄSTRA GÖTALANDS LÄN</t>
        </is>
      </c>
      <c r="E4118" t="inlineStr">
        <is>
          <t>MARK</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6893-2020</t>
        </is>
      </c>
      <c r="B4119" s="1" t="n">
        <v>43867</v>
      </c>
      <c r="C4119" s="1" t="n">
        <v>45227</v>
      </c>
      <c r="D4119" t="inlineStr">
        <is>
          <t>VÄSTRA GÖTALANDS LÄN</t>
        </is>
      </c>
      <c r="E4119" t="inlineStr">
        <is>
          <t>VÄNERSBORG</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6629-2020</t>
        </is>
      </c>
      <c r="B4120" s="1" t="n">
        <v>43867</v>
      </c>
      <c r="C4120" s="1" t="n">
        <v>45227</v>
      </c>
      <c r="D4120" t="inlineStr">
        <is>
          <t>VÄSTRA GÖTALANDS LÄN</t>
        </is>
      </c>
      <c r="E4120" t="inlineStr">
        <is>
          <t>GULLSPÅNG</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6577-2020</t>
        </is>
      </c>
      <c r="B4121" s="1" t="n">
        <v>43867</v>
      </c>
      <c r="C4121" s="1" t="n">
        <v>45227</v>
      </c>
      <c r="D4121" t="inlineStr">
        <is>
          <t>VÄSTRA GÖTALANDS LÄN</t>
        </is>
      </c>
      <c r="E4121" t="inlineStr">
        <is>
          <t>GÖTENE</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6753-2020</t>
        </is>
      </c>
      <c r="B4122" s="1" t="n">
        <v>43867</v>
      </c>
      <c r="C4122" s="1" t="n">
        <v>45227</v>
      </c>
      <c r="D4122" t="inlineStr">
        <is>
          <t>VÄSTRA GÖTALANDS LÄN</t>
        </is>
      </c>
      <c r="E4122" t="inlineStr">
        <is>
          <t>LIDKÖPING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6786-2020</t>
        </is>
      </c>
      <c r="B4123" s="1" t="n">
        <v>43867</v>
      </c>
      <c r="C4123" s="1" t="n">
        <v>45227</v>
      </c>
      <c r="D4123" t="inlineStr">
        <is>
          <t>VÄSTRA GÖTALANDS LÄN</t>
        </is>
      </c>
      <c r="E4123" t="inlineStr">
        <is>
          <t>ULRICEHAMN</t>
        </is>
      </c>
      <c r="G4123" t="n">
        <v>6</v>
      </c>
      <c r="H4123" t="n">
        <v>0</v>
      </c>
      <c r="I4123" t="n">
        <v>0</v>
      </c>
      <c r="J4123" t="n">
        <v>0</v>
      </c>
      <c r="K4123" t="n">
        <v>0</v>
      </c>
      <c r="L4123" t="n">
        <v>0</v>
      </c>
      <c r="M4123" t="n">
        <v>0</v>
      </c>
      <c r="N4123" t="n">
        <v>0</v>
      </c>
      <c r="O4123" t="n">
        <v>0</v>
      </c>
      <c r="P4123" t="n">
        <v>0</v>
      </c>
      <c r="Q4123" t="n">
        <v>0</v>
      </c>
      <c r="R4123" s="2" t="inlineStr"/>
    </row>
    <row r="4124" ht="15" customHeight="1">
      <c r="A4124" t="inlineStr">
        <is>
          <t>A 6513-2020</t>
        </is>
      </c>
      <c r="B4124" s="1" t="n">
        <v>43867</v>
      </c>
      <c r="C4124" s="1" t="n">
        <v>45227</v>
      </c>
      <c r="D4124" t="inlineStr">
        <is>
          <t>VÄSTRA GÖTALANDS LÄN</t>
        </is>
      </c>
      <c r="E4124" t="inlineStr">
        <is>
          <t>SKÖVDE</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6544-2020</t>
        </is>
      </c>
      <c r="B4125" s="1" t="n">
        <v>43867</v>
      </c>
      <c r="C4125" s="1" t="n">
        <v>45227</v>
      </c>
      <c r="D4125" t="inlineStr">
        <is>
          <t>VÄSTRA GÖTALANDS LÄN</t>
        </is>
      </c>
      <c r="E4125" t="inlineStr">
        <is>
          <t>GÖTENE</t>
        </is>
      </c>
      <c r="G4125" t="n">
        <v>0.1</v>
      </c>
      <c r="H4125" t="n">
        <v>0</v>
      </c>
      <c r="I4125" t="n">
        <v>0</v>
      </c>
      <c r="J4125" t="n">
        <v>0</v>
      </c>
      <c r="K4125" t="n">
        <v>0</v>
      </c>
      <c r="L4125" t="n">
        <v>0</v>
      </c>
      <c r="M4125" t="n">
        <v>0</v>
      </c>
      <c r="N4125" t="n">
        <v>0</v>
      </c>
      <c r="O4125" t="n">
        <v>0</v>
      </c>
      <c r="P4125" t="n">
        <v>0</v>
      </c>
      <c r="Q4125" t="n">
        <v>0</v>
      </c>
      <c r="R4125" s="2" t="inlineStr"/>
    </row>
    <row r="4126" ht="15" customHeight="1">
      <c r="A4126" t="inlineStr">
        <is>
          <t>A 6574-2020</t>
        </is>
      </c>
      <c r="B4126" s="1" t="n">
        <v>43867</v>
      </c>
      <c r="C4126" s="1" t="n">
        <v>45227</v>
      </c>
      <c r="D4126" t="inlineStr">
        <is>
          <t>VÄSTRA GÖTALANDS LÄN</t>
        </is>
      </c>
      <c r="E4126" t="inlineStr">
        <is>
          <t>GÖTENE</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6782-2020</t>
        </is>
      </c>
      <c r="B4127" s="1" t="n">
        <v>43867</v>
      </c>
      <c r="C4127" s="1" t="n">
        <v>45227</v>
      </c>
      <c r="D4127" t="inlineStr">
        <is>
          <t>VÄSTRA GÖTALANDS LÄN</t>
        </is>
      </c>
      <c r="E4127" t="inlineStr">
        <is>
          <t>ÅMÅL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6882-2020</t>
        </is>
      </c>
      <c r="B4128" s="1" t="n">
        <v>43868</v>
      </c>
      <c r="C4128" s="1" t="n">
        <v>45227</v>
      </c>
      <c r="D4128" t="inlineStr">
        <is>
          <t>VÄSTRA GÖTALANDS LÄN</t>
        </is>
      </c>
      <c r="E4128" t="inlineStr">
        <is>
          <t>ULRICEHAMN</t>
        </is>
      </c>
      <c r="F4128" t="inlineStr">
        <is>
          <t>Kommuner</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6952-2020</t>
        </is>
      </c>
      <c r="B4129" s="1" t="n">
        <v>43868</v>
      </c>
      <c r="C4129" s="1" t="n">
        <v>45227</v>
      </c>
      <c r="D4129" t="inlineStr">
        <is>
          <t>VÄSTRA GÖTALANDS LÄN</t>
        </is>
      </c>
      <c r="E4129" t="inlineStr">
        <is>
          <t>SVENLJUNGA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7083-2020</t>
        </is>
      </c>
      <c r="B4130" s="1" t="n">
        <v>43868</v>
      </c>
      <c r="C4130" s="1" t="n">
        <v>45227</v>
      </c>
      <c r="D4130" t="inlineStr">
        <is>
          <t>VÄSTRA GÖTALANDS LÄN</t>
        </is>
      </c>
      <c r="E4130" t="inlineStr">
        <is>
          <t>BENGTSFORS</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6896-2020</t>
        </is>
      </c>
      <c r="B4131" s="1" t="n">
        <v>43868</v>
      </c>
      <c r="C4131" s="1" t="n">
        <v>45227</v>
      </c>
      <c r="D4131" t="inlineStr">
        <is>
          <t>VÄSTRA GÖTALANDS LÄN</t>
        </is>
      </c>
      <c r="E4131" t="inlineStr">
        <is>
          <t>SVENLJUNGA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6921-2020</t>
        </is>
      </c>
      <c r="B4132" s="1" t="n">
        <v>43868</v>
      </c>
      <c r="C4132" s="1" t="n">
        <v>45227</v>
      </c>
      <c r="D4132" t="inlineStr">
        <is>
          <t>VÄSTRA GÖTALANDS LÄN</t>
        </is>
      </c>
      <c r="E4132" t="inlineStr">
        <is>
          <t>FALKÖPING</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7089-2020</t>
        </is>
      </c>
      <c r="B4133" s="1" t="n">
        <v>43868</v>
      </c>
      <c r="C4133" s="1" t="n">
        <v>45227</v>
      </c>
      <c r="D4133" t="inlineStr">
        <is>
          <t>VÄSTRA GÖTALANDS LÄN</t>
        </is>
      </c>
      <c r="E4133" t="inlineStr">
        <is>
          <t>BENGTSFORS</t>
        </is>
      </c>
      <c r="G4133" t="n">
        <v>3.6</v>
      </c>
      <c r="H4133" t="n">
        <v>0</v>
      </c>
      <c r="I4133" t="n">
        <v>0</v>
      </c>
      <c r="J4133" t="n">
        <v>0</v>
      </c>
      <c r="K4133" t="n">
        <v>0</v>
      </c>
      <c r="L4133" t="n">
        <v>0</v>
      </c>
      <c r="M4133" t="n">
        <v>0</v>
      </c>
      <c r="N4133" t="n">
        <v>0</v>
      </c>
      <c r="O4133" t="n">
        <v>0</v>
      </c>
      <c r="P4133" t="n">
        <v>0</v>
      </c>
      <c r="Q4133" t="n">
        <v>0</v>
      </c>
      <c r="R4133" s="2" t="inlineStr"/>
    </row>
    <row r="4134" ht="15" customHeight="1">
      <c r="A4134" t="inlineStr">
        <is>
          <t>A 6820-2020</t>
        </is>
      </c>
      <c r="B4134" s="1" t="n">
        <v>43868</v>
      </c>
      <c r="C4134" s="1" t="n">
        <v>45227</v>
      </c>
      <c r="D4134" t="inlineStr">
        <is>
          <t>VÄSTRA GÖTALANDS LÄN</t>
        </is>
      </c>
      <c r="E4134" t="inlineStr">
        <is>
          <t>ÅMÅL</t>
        </is>
      </c>
      <c r="G4134" t="n">
        <v>4.5</v>
      </c>
      <c r="H4134" t="n">
        <v>0</v>
      </c>
      <c r="I4134" t="n">
        <v>0</v>
      </c>
      <c r="J4134" t="n">
        <v>0</v>
      </c>
      <c r="K4134" t="n">
        <v>0</v>
      </c>
      <c r="L4134" t="n">
        <v>0</v>
      </c>
      <c r="M4134" t="n">
        <v>0</v>
      </c>
      <c r="N4134" t="n">
        <v>0</v>
      </c>
      <c r="O4134" t="n">
        <v>0</v>
      </c>
      <c r="P4134" t="n">
        <v>0</v>
      </c>
      <c r="Q4134" t="n">
        <v>0</v>
      </c>
      <c r="R4134" s="2" t="inlineStr"/>
    </row>
    <row r="4135" ht="15" customHeight="1">
      <c r="A4135" t="inlineStr">
        <is>
          <t>A 6879-2020</t>
        </is>
      </c>
      <c r="B4135" s="1" t="n">
        <v>43868</v>
      </c>
      <c r="C4135" s="1" t="n">
        <v>45227</v>
      </c>
      <c r="D4135" t="inlineStr">
        <is>
          <t>VÄSTRA GÖTALANDS LÄN</t>
        </is>
      </c>
      <c r="E4135" t="inlineStr">
        <is>
          <t>ULRICEHAMN</t>
        </is>
      </c>
      <c r="F4135" t="inlineStr">
        <is>
          <t>Kommuner</t>
        </is>
      </c>
      <c r="G4135" t="n">
        <v>2.1</v>
      </c>
      <c r="H4135" t="n">
        <v>0</v>
      </c>
      <c r="I4135" t="n">
        <v>0</v>
      </c>
      <c r="J4135" t="n">
        <v>0</v>
      </c>
      <c r="K4135" t="n">
        <v>0</v>
      </c>
      <c r="L4135" t="n">
        <v>0</v>
      </c>
      <c r="M4135" t="n">
        <v>0</v>
      </c>
      <c r="N4135" t="n">
        <v>0</v>
      </c>
      <c r="O4135" t="n">
        <v>0</v>
      </c>
      <c r="P4135" t="n">
        <v>0</v>
      </c>
      <c r="Q4135" t="n">
        <v>0</v>
      </c>
      <c r="R4135" s="2" t="inlineStr"/>
    </row>
    <row r="4136" ht="15" customHeight="1">
      <c r="A4136" t="inlineStr">
        <is>
          <t>A 7043-2020</t>
        </is>
      </c>
      <c r="B4136" s="1" t="n">
        <v>43868</v>
      </c>
      <c r="C4136" s="1" t="n">
        <v>45227</v>
      </c>
      <c r="D4136" t="inlineStr">
        <is>
          <t>VÄSTRA GÖTALANDS LÄN</t>
        </is>
      </c>
      <c r="E4136" t="inlineStr">
        <is>
          <t>MARIESTAD</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7100-2020</t>
        </is>
      </c>
      <c r="B4137" s="1" t="n">
        <v>43868</v>
      </c>
      <c r="C4137" s="1" t="n">
        <v>45227</v>
      </c>
      <c r="D4137" t="inlineStr">
        <is>
          <t>VÄSTRA GÖTALANDS LÄN</t>
        </is>
      </c>
      <c r="E4137" t="inlineStr">
        <is>
          <t>FALKÖPING</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6817-2020</t>
        </is>
      </c>
      <c r="B4138" s="1" t="n">
        <v>43868</v>
      </c>
      <c r="C4138" s="1" t="n">
        <v>45227</v>
      </c>
      <c r="D4138" t="inlineStr">
        <is>
          <t>VÄSTRA GÖTALANDS LÄN</t>
        </is>
      </c>
      <c r="E4138" t="inlineStr">
        <is>
          <t>SVENLJUNGA</t>
        </is>
      </c>
      <c r="G4138" t="n">
        <v>4.7</v>
      </c>
      <c r="H4138" t="n">
        <v>0</v>
      </c>
      <c r="I4138" t="n">
        <v>0</v>
      </c>
      <c r="J4138" t="n">
        <v>0</v>
      </c>
      <c r="K4138" t="n">
        <v>0</v>
      </c>
      <c r="L4138" t="n">
        <v>0</v>
      </c>
      <c r="M4138" t="n">
        <v>0</v>
      </c>
      <c r="N4138" t="n">
        <v>0</v>
      </c>
      <c r="O4138" t="n">
        <v>0</v>
      </c>
      <c r="P4138" t="n">
        <v>0</v>
      </c>
      <c r="Q4138" t="n">
        <v>0</v>
      </c>
      <c r="R4138" s="2" t="inlineStr"/>
    </row>
    <row r="4139" ht="15" customHeight="1">
      <c r="A4139" t="inlineStr">
        <is>
          <t>A 6885-2020</t>
        </is>
      </c>
      <c r="B4139" s="1" t="n">
        <v>43868</v>
      </c>
      <c r="C4139" s="1" t="n">
        <v>45227</v>
      </c>
      <c r="D4139" t="inlineStr">
        <is>
          <t>VÄSTRA GÖTALANDS LÄN</t>
        </is>
      </c>
      <c r="E4139" t="inlineStr">
        <is>
          <t>ULRICEHAMN</t>
        </is>
      </c>
      <c r="F4139" t="inlineStr">
        <is>
          <t>Kommuner</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6919-2020</t>
        </is>
      </c>
      <c r="B4140" s="1" t="n">
        <v>43868</v>
      </c>
      <c r="C4140" s="1" t="n">
        <v>45227</v>
      </c>
      <c r="D4140" t="inlineStr">
        <is>
          <t>VÄSTRA GÖTALANDS LÄN</t>
        </is>
      </c>
      <c r="E4140" t="inlineStr">
        <is>
          <t>FALKÖPING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7017-2020</t>
        </is>
      </c>
      <c r="B4141" s="1" t="n">
        <v>43868</v>
      </c>
      <c r="C4141" s="1" t="n">
        <v>45227</v>
      </c>
      <c r="D4141" t="inlineStr">
        <is>
          <t>VÄSTRA GÖTALANDS LÄN</t>
        </is>
      </c>
      <c r="E4141" t="inlineStr">
        <is>
          <t>TÖREBODA</t>
        </is>
      </c>
      <c r="F4141" t="inlineStr">
        <is>
          <t>Kyrkan</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7119-2020</t>
        </is>
      </c>
      <c r="B4142" s="1" t="n">
        <v>43868</v>
      </c>
      <c r="C4142" s="1" t="n">
        <v>45227</v>
      </c>
      <c r="D4142" t="inlineStr">
        <is>
          <t>VÄSTRA GÖTALANDS LÄN</t>
        </is>
      </c>
      <c r="E4142" t="inlineStr">
        <is>
          <t>TIDAHOLM</t>
        </is>
      </c>
      <c r="F4142" t="inlineStr">
        <is>
          <t>Kyrkan</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7138-2020</t>
        </is>
      </c>
      <c r="B4143" s="1" t="n">
        <v>43869</v>
      </c>
      <c r="C4143" s="1" t="n">
        <v>45227</v>
      </c>
      <c r="D4143" t="inlineStr">
        <is>
          <t>VÄSTRA GÖTALANDS LÄN</t>
        </is>
      </c>
      <c r="E4143" t="inlineStr">
        <is>
          <t>MUNKEDAL</t>
        </is>
      </c>
      <c r="G4143" t="n">
        <v>6.8</v>
      </c>
      <c r="H4143" t="n">
        <v>0</v>
      </c>
      <c r="I4143" t="n">
        <v>0</v>
      </c>
      <c r="J4143" t="n">
        <v>0</v>
      </c>
      <c r="K4143" t="n">
        <v>0</v>
      </c>
      <c r="L4143" t="n">
        <v>0</v>
      </c>
      <c r="M4143" t="n">
        <v>0</v>
      </c>
      <c r="N4143" t="n">
        <v>0</v>
      </c>
      <c r="O4143" t="n">
        <v>0</v>
      </c>
      <c r="P4143" t="n">
        <v>0</v>
      </c>
      <c r="Q4143" t="n">
        <v>0</v>
      </c>
      <c r="R4143" s="2" t="inlineStr"/>
    </row>
    <row r="4144" ht="15" customHeight="1">
      <c r="A4144" t="inlineStr">
        <is>
          <t>A 7161-2020</t>
        </is>
      </c>
      <c r="B4144" s="1" t="n">
        <v>43870</v>
      </c>
      <c r="C4144" s="1" t="n">
        <v>45227</v>
      </c>
      <c r="D4144" t="inlineStr">
        <is>
          <t>VÄSTRA GÖTALANDS LÄN</t>
        </is>
      </c>
      <c r="E4144" t="inlineStr">
        <is>
          <t>STENUNGSUND</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7165-2020</t>
        </is>
      </c>
      <c r="B4145" s="1" t="n">
        <v>43870</v>
      </c>
      <c r="C4145" s="1" t="n">
        <v>45227</v>
      </c>
      <c r="D4145" t="inlineStr">
        <is>
          <t>VÄSTRA GÖTALANDS LÄN</t>
        </is>
      </c>
      <c r="E4145" t="inlineStr">
        <is>
          <t>TÖREBODA</t>
        </is>
      </c>
      <c r="G4145" t="n">
        <v>2.5</v>
      </c>
      <c r="H4145" t="n">
        <v>0</v>
      </c>
      <c r="I4145" t="n">
        <v>0</v>
      </c>
      <c r="J4145" t="n">
        <v>0</v>
      </c>
      <c r="K4145" t="n">
        <v>0</v>
      </c>
      <c r="L4145" t="n">
        <v>0</v>
      </c>
      <c r="M4145" t="n">
        <v>0</v>
      </c>
      <c r="N4145" t="n">
        <v>0</v>
      </c>
      <c r="O4145" t="n">
        <v>0</v>
      </c>
      <c r="P4145" t="n">
        <v>0</v>
      </c>
      <c r="Q4145" t="n">
        <v>0</v>
      </c>
      <c r="R4145" s="2" t="inlineStr"/>
    </row>
    <row r="4146" ht="15" customHeight="1">
      <c r="A4146" t="inlineStr">
        <is>
          <t>A 7235-2020</t>
        </is>
      </c>
      <c r="B4146" s="1" t="n">
        <v>43871</v>
      </c>
      <c r="C4146" s="1" t="n">
        <v>45227</v>
      </c>
      <c r="D4146" t="inlineStr">
        <is>
          <t>VÄSTRA GÖTALANDS LÄN</t>
        </is>
      </c>
      <c r="E4146" t="inlineStr">
        <is>
          <t>TRANEMO</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7437-2020</t>
        </is>
      </c>
      <c r="B4147" s="1" t="n">
        <v>43871</v>
      </c>
      <c r="C4147" s="1" t="n">
        <v>45227</v>
      </c>
      <c r="D4147" t="inlineStr">
        <is>
          <t>VÄSTRA GÖTALANDS LÄN</t>
        </is>
      </c>
      <c r="E4147" t="inlineStr">
        <is>
          <t>TROLLHÄTTAN</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7588-2020</t>
        </is>
      </c>
      <c r="B4148" s="1" t="n">
        <v>43871</v>
      </c>
      <c r="C4148" s="1" t="n">
        <v>45227</v>
      </c>
      <c r="D4148" t="inlineStr">
        <is>
          <t>VÄSTRA GÖTALANDS LÄN</t>
        </is>
      </c>
      <c r="E4148" t="inlineStr">
        <is>
          <t>VARA</t>
        </is>
      </c>
      <c r="G4148" t="n">
        <v>0.6</v>
      </c>
      <c r="H4148" t="n">
        <v>0</v>
      </c>
      <c r="I4148" t="n">
        <v>0</v>
      </c>
      <c r="J4148" t="n">
        <v>0</v>
      </c>
      <c r="K4148" t="n">
        <v>0</v>
      </c>
      <c r="L4148" t="n">
        <v>0</v>
      </c>
      <c r="M4148" t="n">
        <v>0</v>
      </c>
      <c r="N4148" t="n">
        <v>0</v>
      </c>
      <c r="O4148" t="n">
        <v>0</v>
      </c>
      <c r="P4148" t="n">
        <v>0</v>
      </c>
      <c r="Q4148" t="n">
        <v>0</v>
      </c>
      <c r="R4148" s="2" t="inlineStr"/>
    </row>
    <row r="4149" ht="15" customHeight="1">
      <c r="A4149" t="inlineStr">
        <is>
          <t>A 7194-2020</t>
        </is>
      </c>
      <c r="B4149" s="1" t="n">
        <v>43871</v>
      </c>
      <c r="C4149" s="1" t="n">
        <v>45227</v>
      </c>
      <c r="D4149" t="inlineStr">
        <is>
          <t>VÄSTRA GÖTALANDS LÄN</t>
        </is>
      </c>
      <c r="E4149" t="inlineStr">
        <is>
          <t>BORÅS</t>
        </is>
      </c>
      <c r="G4149" t="n">
        <v>0.8</v>
      </c>
      <c r="H4149" t="n">
        <v>0</v>
      </c>
      <c r="I4149" t="n">
        <v>0</v>
      </c>
      <c r="J4149" t="n">
        <v>0</v>
      </c>
      <c r="K4149" t="n">
        <v>0</v>
      </c>
      <c r="L4149" t="n">
        <v>0</v>
      </c>
      <c r="M4149" t="n">
        <v>0</v>
      </c>
      <c r="N4149" t="n">
        <v>0</v>
      </c>
      <c r="O4149" t="n">
        <v>0</v>
      </c>
      <c r="P4149" t="n">
        <v>0</v>
      </c>
      <c r="Q4149" t="n">
        <v>0</v>
      </c>
      <c r="R4149" s="2" t="inlineStr"/>
    </row>
    <row r="4150" ht="15" customHeight="1">
      <c r="A4150" t="inlineStr">
        <is>
          <t>A 7296-2020</t>
        </is>
      </c>
      <c r="B4150" s="1" t="n">
        <v>43871</v>
      </c>
      <c r="C4150" s="1" t="n">
        <v>45227</v>
      </c>
      <c r="D4150" t="inlineStr">
        <is>
          <t>VÄSTRA GÖTALANDS LÄN</t>
        </is>
      </c>
      <c r="E4150" t="inlineStr">
        <is>
          <t>BORÅS</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7328-2020</t>
        </is>
      </c>
      <c r="B4151" s="1" t="n">
        <v>43871</v>
      </c>
      <c r="C4151" s="1" t="n">
        <v>45227</v>
      </c>
      <c r="D4151" t="inlineStr">
        <is>
          <t>VÄSTRA GÖTALANDS LÄN</t>
        </is>
      </c>
      <c r="E4151" t="inlineStr">
        <is>
          <t>TIDAHOLM</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7216-2020</t>
        </is>
      </c>
      <c r="B4152" s="1" t="n">
        <v>43871</v>
      </c>
      <c r="C4152" s="1" t="n">
        <v>45227</v>
      </c>
      <c r="D4152" t="inlineStr">
        <is>
          <t>VÄSTRA GÖTALANDS LÄN</t>
        </is>
      </c>
      <c r="E4152" t="inlineStr">
        <is>
          <t>TRANEMO</t>
        </is>
      </c>
      <c r="G4152" t="n">
        <v>10</v>
      </c>
      <c r="H4152" t="n">
        <v>0</v>
      </c>
      <c r="I4152" t="n">
        <v>0</v>
      </c>
      <c r="J4152" t="n">
        <v>0</v>
      </c>
      <c r="K4152" t="n">
        <v>0</v>
      </c>
      <c r="L4152" t="n">
        <v>0</v>
      </c>
      <c r="M4152" t="n">
        <v>0</v>
      </c>
      <c r="N4152" t="n">
        <v>0</v>
      </c>
      <c r="O4152" t="n">
        <v>0</v>
      </c>
      <c r="P4152" t="n">
        <v>0</v>
      </c>
      <c r="Q4152" t="n">
        <v>0</v>
      </c>
      <c r="R4152" s="2" t="inlineStr"/>
    </row>
    <row r="4153" ht="15" customHeight="1">
      <c r="A4153" t="inlineStr">
        <is>
          <t>A 7288-2020</t>
        </is>
      </c>
      <c r="B4153" s="1" t="n">
        <v>43871</v>
      </c>
      <c r="C4153" s="1" t="n">
        <v>45227</v>
      </c>
      <c r="D4153" t="inlineStr">
        <is>
          <t>VÄSTRA GÖTALANDS LÄN</t>
        </is>
      </c>
      <c r="E4153" t="inlineStr">
        <is>
          <t>BORÅS</t>
        </is>
      </c>
      <c r="G4153" t="n">
        <v>2.1</v>
      </c>
      <c r="H4153" t="n">
        <v>0</v>
      </c>
      <c r="I4153" t="n">
        <v>0</v>
      </c>
      <c r="J4153" t="n">
        <v>0</v>
      </c>
      <c r="K4153" t="n">
        <v>0</v>
      </c>
      <c r="L4153" t="n">
        <v>0</v>
      </c>
      <c r="M4153" t="n">
        <v>0</v>
      </c>
      <c r="N4153" t="n">
        <v>0</v>
      </c>
      <c r="O4153" t="n">
        <v>0</v>
      </c>
      <c r="P4153" t="n">
        <v>0</v>
      </c>
      <c r="Q4153" t="n">
        <v>0</v>
      </c>
      <c r="R4153" s="2" t="inlineStr"/>
    </row>
    <row r="4154" ht="15" customHeight="1">
      <c r="A4154" t="inlineStr">
        <is>
          <t>A 7381-2020</t>
        </is>
      </c>
      <c r="B4154" s="1" t="n">
        <v>43871</v>
      </c>
      <c r="C4154" s="1" t="n">
        <v>45227</v>
      </c>
      <c r="D4154" t="inlineStr">
        <is>
          <t>VÄSTRA GÖTALANDS LÄN</t>
        </is>
      </c>
      <c r="E4154" t="inlineStr">
        <is>
          <t>MARIESTAD</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7465-2020</t>
        </is>
      </c>
      <c r="B4155" s="1" t="n">
        <v>43871</v>
      </c>
      <c r="C4155" s="1" t="n">
        <v>45227</v>
      </c>
      <c r="D4155" t="inlineStr">
        <is>
          <t>VÄSTRA GÖTALANDS LÄN</t>
        </is>
      </c>
      <c r="E4155" t="inlineStr">
        <is>
          <t>HERRLJUNGA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7171-2020</t>
        </is>
      </c>
      <c r="B4156" s="1" t="n">
        <v>43871</v>
      </c>
      <c r="C4156" s="1" t="n">
        <v>45227</v>
      </c>
      <c r="D4156" t="inlineStr">
        <is>
          <t>VÄSTRA GÖTALANDS LÄN</t>
        </is>
      </c>
      <c r="E4156" t="inlineStr">
        <is>
          <t>VARA</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7224-2020</t>
        </is>
      </c>
      <c r="B4157" s="1" t="n">
        <v>43871</v>
      </c>
      <c r="C4157" s="1" t="n">
        <v>45227</v>
      </c>
      <c r="D4157" t="inlineStr">
        <is>
          <t>VÄSTRA GÖTALANDS LÄN</t>
        </is>
      </c>
      <c r="E4157" t="inlineStr">
        <is>
          <t>TRANEMO</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7325-2020</t>
        </is>
      </c>
      <c r="B4158" s="1" t="n">
        <v>43871</v>
      </c>
      <c r="C4158" s="1" t="n">
        <v>45227</v>
      </c>
      <c r="D4158" t="inlineStr">
        <is>
          <t>VÄSTRA GÖTALANDS LÄN</t>
        </is>
      </c>
      <c r="E4158" t="inlineStr">
        <is>
          <t>STENUNGSUND</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7594-2020</t>
        </is>
      </c>
      <c r="B4159" s="1" t="n">
        <v>43871</v>
      </c>
      <c r="C4159" s="1" t="n">
        <v>45227</v>
      </c>
      <c r="D4159" t="inlineStr">
        <is>
          <t>VÄSTRA GÖTALANDS LÄN</t>
        </is>
      </c>
      <c r="E4159" t="inlineStr">
        <is>
          <t>DALS-ED</t>
        </is>
      </c>
      <c r="G4159" t="n">
        <v>3.2</v>
      </c>
      <c r="H4159" t="n">
        <v>0</v>
      </c>
      <c r="I4159" t="n">
        <v>0</v>
      </c>
      <c r="J4159" t="n">
        <v>0</v>
      </c>
      <c r="K4159" t="n">
        <v>0</v>
      </c>
      <c r="L4159" t="n">
        <v>0</v>
      </c>
      <c r="M4159" t="n">
        <v>0</v>
      </c>
      <c r="N4159" t="n">
        <v>0</v>
      </c>
      <c r="O4159" t="n">
        <v>0</v>
      </c>
      <c r="P4159" t="n">
        <v>0</v>
      </c>
      <c r="Q4159" t="n">
        <v>0</v>
      </c>
      <c r="R4159" s="2" t="inlineStr"/>
    </row>
    <row r="4160" ht="15" customHeight="1">
      <c r="A4160" t="inlineStr">
        <is>
          <t>A 7522-2020</t>
        </is>
      </c>
      <c r="B4160" s="1" t="n">
        <v>43872</v>
      </c>
      <c r="C4160" s="1" t="n">
        <v>45227</v>
      </c>
      <c r="D4160" t="inlineStr">
        <is>
          <t>VÄSTRA GÖTALANDS LÄN</t>
        </is>
      </c>
      <c r="E4160" t="inlineStr">
        <is>
          <t>DALS-ED</t>
        </is>
      </c>
      <c r="F4160" t="inlineStr">
        <is>
          <t>Kommuner</t>
        </is>
      </c>
      <c r="G4160" t="n">
        <v>5.5</v>
      </c>
      <c r="H4160" t="n">
        <v>0</v>
      </c>
      <c r="I4160" t="n">
        <v>0</v>
      </c>
      <c r="J4160" t="n">
        <v>0</v>
      </c>
      <c r="K4160" t="n">
        <v>0</v>
      </c>
      <c r="L4160" t="n">
        <v>0</v>
      </c>
      <c r="M4160" t="n">
        <v>0</v>
      </c>
      <c r="N4160" t="n">
        <v>0</v>
      </c>
      <c r="O4160" t="n">
        <v>0</v>
      </c>
      <c r="P4160" t="n">
        <v>0</v>
      </c>
      <c r="Q4160" t="n">
        <v>0</v>
      </c>
      <c r="R4160" s="2" t="inlineStr"/>
    </row>
    <row r="4161" ht="15" customHeight="1">
      <c r="A4161" t="inlineStr">
        <is>
          <t>A 7532-2020</t>
        </is>
      </c>
      <c r="B4161" s="1" t="n">
        <v>43872</v>
      </c>
      <c r="C4161" s="1" t="n">
        <v>45227</v>
      </c>
      <c r="D4161" t="inlineStr">
        <is>
          <t>VÄSTRA GÖTALANDS LÄN</t>
        </is>
      </c>
      <c r="E4161" t="inlineStr">
        <is>
          <t>SKARA</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7625-2020</t>
        </is>
      </c>
      <c r="B4162" s="1" t="n">
        <v>43872</v>
      </c>
      <c r="C4162" s="1" t="n">
        <v>45227</v>
      </c>
      <c r="D4162" t="inlineStr">
        <is>
          <t>VÄSTRA GÖTALANDS LÄN</t>
        </is>
      </c>
      <c r="E4162" t="inlineStr">
        <is>
          <t>SKARA</t>
        </is>
      </c>
      <c r="G4162" t="n">
        <v>6.8</v>
      </c>
      <c r="H4162" t="n">
        <v>0</v>
      </c>
      <c r="I4162" t="n">
        <v>0</v>
      </c>
      <c r="J4162" t="n">
        <v>0</v>
      </c>
      <c r="K4162" t="n">
        <v>0</v>
      </c>
      <c r="L4162" t="n">
        <v>0</v>
      </c>
      <c r="M4162" t="n">
        <v>0</v>
      </c>
      <c r="N4162" t="n">
        <v>0</v>
      </c>
      <c r="O4162" t="n">
        <v>0</v>
      </c>
      <c r="P4162" t="n">
        <v>0</v>
      </c>
      <c r="Q4162" t="n">
        <v>0</v>
      </c>
      <c r="R4162" s="2" t="inlineStr"/>
    </row>
    <row r="4163" ht="15" customHeight="1">
      <c r="A4163" t="inlineStr">
        <is>
          <t>A 7646-2020</t>
        </is>
      </c>
      <c r="B4163" s="1" t="n">
        <v>43872</v>
      </c>
      <c r="C4163" s="1" t="n">
        <v>45227</v>
      </c>
      <c r="D4163" t="inlineStr">
        <is>
          <t>VÄSTRA GÖTALANDS LÄN</t>
        </is>
      </c>
      <c r="E4163" t="inlineStr">
        <is>
          <t>LIDKÖPING</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7679-2020</t>
        </is>
      </c>
      <c r="B4164" s="1" t="n">
        <v>43872</v>
      </c>
      <c r="C4164" s="1" t="n">
        <v>45227</v>
      </c>
      <c r="D4164" t="inlineStr">
        <is>
          <t>VÄSTRA GÖTALANDS LÄN</t>
        </is>
      </c>
      <c r="E4164" t="inlineStr">
        <is>
          <t>LIDKÖPING</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7528-2020</t>
        </is>
      </c>
      <c r="B4165" s="1" t="n">
        <v>43872</v>
      </c>
      <c r="C4165" s="1" t="n">
        <v>45227</v>
      </c>
      <c r="D4165" t="inlineStr">
        <is>
          <t>VÄSTRA GÖTALANDS LÄN</t>
        </is>
      </c>
      <c r="E4165" t="inlineStr">
        <is>
          <t>SKARA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7542-2020</t>
        </is>
      </c>
      <c r="B4166" s="1" t="n">
        <v>43872</v>
      </c>
      <c r="C4166" s="1" t="n">
        <v>45227</v>
      </c>
      <c r="D4166" t="inlineStr">
        <is>
          <t>VÄSTRA GÖTALANDS LÄN</t>
        </is>
      </c>
      <c r="E4166" t="inlineStr">
        <is>
          <t>BORÅS</t>
        </is>
      </c>
      <c r="G4166" t="n">
        <v>23.9</v>
      </c>
      <c r="H4166" t="n">
        <v>0</v>
      </c>
      <c r="I4166" t="n">
        <v>0</v>
      </c>
      <c r="J4166" t="n">
        <v>0</v>
      </c>
      <c r="K4166" t="n">
        <v>0</v>
      </c>
      <c r="L4166" t="n">
        <v>0</v>
      </c>
      <c r="M4166" t="n">
        <v>0</v>
      </c>
      <c r="N4166" t="n">
        <v>0</v>
      </c>
      <c r="O4166" t="n">
        <v>0</v>
      </c>
      <c r="P4166" t="n">
        <v>0</v>
      </c>
      <c r="Q4166" t="n">
        <v>0</v>
      </c>
      <c r="R4166" s="2" t="inlineStr"/>
    </row>
    <row r="4167" ht="15" customHeight="1">
      <c r="A4167" t="inlineStr">
        <is>
          <t>A 7624-2020</t>
        </is>
      </c>
      <c r="B4167" s="1" t="n">
        <v>43872</v>
      </c>
      <c r="C4167" s="1" t="n">
        <v>45227</v>
      </c>
      <c r="D4167" t="inlineStr">
        <is>
          <t>VÄSTRA GÖTALANDS LÄN</t>
        </is>
      </c>
      <c r="E4167" t="inlineStr">
        <is>
          <t>SKARA</t>
        </is>
      </c>
      <c r="G4167" t="n">
        <v>4.9</v>
      </c>
      <c r="H4167" t="n">
        <v>0</v>
      </c>
      <c r="I4167" t="n">
        <v>0</v>
      </c>
      <c r="J4167" t="n">
        <v>0</v>
      </c>
      <c r="K4167" t="n">
        <v>0</v>
      </c>
      <c r="L4167" t="n">
        <v>0</v>
      </c>
      <c r="M4167" t="n">
        <v>0</v>
      </c>
      <c r="N4167" t="n">
        <v>0</v>
      </c>
      <c r="O4167" t="n">
        <v>0</v>
      </c>
      <c r="P4167" t="n">
        <v>0</v>
      </c>
      <c r="Q4167" t="n">
        <v>0</v>
      </c>
      <c r="R4167" s="2" t="inlineStr"/>
    </row>
    <row r="4168" ht="15" customHeight="1">
      <c r="A4168" t="inlineStr">
        <is>
          <t>A 7706-2020</t>
        </is>
      </c>
      <c r="B4168" s="1" t="n">
        <v>43872</v>
      </c>
      <c r="C4168" s="1" t="n">
        <v>45227</v>
      </c>
      <c r="D4168" t="inlineStr">
        <is>
          <t>VÄSTRA GÖTALANDS LÄN</t>
        </is>
      </c>
      <c r="E4168" t="inlineStr">
        <is>
          <t>ALE</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7771-2020</t>
        </is>
      </c>
      <c r="B4169" s="1" t="n">
        <v>43872</v>
      </c>
      <c r="C4169" s="1" t="n">
        <v>45227</v>
      </c>
      <c r="D4169" t="inlineStr">
        <is>
          <t>VÄSTRA GÖTALANDS LÄN</t>
        </is>
      </c>
      <c r="E4169" t="inlineStr">
        <is>
          <t>DALS-ED</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7534-2020</t>
        </is>
      </c>
      <c r="B4170" s="1" t="n">
        <v>43872</v>
      </c>
      <c r="C4170" s="1" t="n">
        <v>45227</v>
      </c>
      <c r="D4170" t="inlineStr">
        <is>
          <t>VÄSTRA GÖTALANDS LÄN</t>
        </is>
      </c>
      <c r="E4170" t="inlineStr">
        <is>
          <t>DALS-ED</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7608-2020</t>
        </is>
      </c>
      <c r="B4171" s="1" t="n">
        <v>43872</v>
      </c>
      <c r="C4171" s="1" t="n">
        <v>45227</v>
      </c>
      <c r="D4171" t="inlineStr">
        <is>
          <t>VÄSTRA GÖTALANDS LÄN</t>
        </is>
      </c>
      <c r="E4171" t="inlineStr">
        <is>
          <t>SKARA</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7617-2020</t>
        </is>
      </c>
      <c r="B4172" s="1" t="n">
        <v>43872</v>
      </c>
      <c r="C4172" s="1" t="n">
        <v>45227</v>
      </c>
      <c r="D4172" t="inlineStr">
        <is>
          <t>VÄSTRA GÖTALANDS LÄN</t>
        </is>
      </c>
      <c r="E4172" t="inlineStr">
        <is>
          <t>SKARA</t>
        </is>
      </c>
      <c r="G4172" t="n">
        <v>4.8</v>
      </c>
      <c r="H4172" t="n">
        <v>0</v>
      </c>
      <c r="I4172" t="n">
        <v>0</v>
      </c>
      <c r="J4172" t="n">
        <v>0</v>
      </c>
      <c r="K4172" t="n">
        <v>0</v>
      </c>
      <c r="L4172" t="n">
        <v>0</v>
      </c>
      <c r="M4172" t="n">
        <v>0</v>
      </c>
      <c r="N4172" t="n">
        <v>0</v>
      </c>
      <c r="O4172" t="n">
        <v>0</v>
      </c>
      <c r="P4172" t="n">
        <v>0</v>
      </c>
      <c r="Q4172" t="n">
        <v>0</v>
      </c>
      <c r="R4172" s="2" t="inlineStr"/>
    </row>
    <row r="4173" ht="15" customHeight="1">
      <c r="A4173" t="inlineStr">
        <is>
          <t>A 7665-2020</t>
        </is>
      </c>
      <c r="B4173" s="1" t="n">
        <v>43872</v>
      </c>
      <c r="C4173" s="1" t="n">
        <v>45227</v>
      </c>
      <c r="D4173" t="inlineStr">
        <is>
          <t>VÄSTRA GÖTALANDS LÄN</t>
        </is>
      </c>
      <c r="E4173" t="inlineStr">
        <is>
          <t>MARIESTAD</t>
        </is>
      </c>
      <c r="G4173" t="n">
        <v>0.8</v>
      </c>
      <c r="H4173" t="n">
        <v>0</v>
      </c>
      <c r="I4173" t="n">
        <v>0</v>
      </c>
      <c r="J4173" t="n">
        <v>0</v>
      </c>
      <c r="K4173" t="n">
        <v>0</v>
      </c>
      <c r="L4173" t="n">
        <v>0</v>
      </c>
      <c r="M4173" t="n">
        <v>0</v>
      </c>
      <c r="N4173" t="n">
        <v>0</v>
      </c>
      <c r="O4173" t="n">
        <v>0</v>
      </c>
      <c r="P4173" t="n">
        <v>0</v>
      </c>
      <c r="Q4173" t="n">
        <v>0</v>
      </c>
      <c r="R4173" s="2" t="inlineStr"/>
    </row>
    <row r="4174" ht="15" customHeight="1">
      <c r="A4174" t="inlineStr">
        <is>
          <t>A 7684-2020</t>
        </is>
      </c>
      <c r="B4174" s="1" t="n">
        <v>43872</v>
      </c>
      <c r="C4174" s="1" t="n">
        <v>45227</v>
      </c>
      <c r="D4174" t="inlineStr">
        <is>
          <t>VÄSTRA GÖTALANDS LÄN</t>
        </is>
      </c>
      <c r="E4174" t="inlineStr">
        <is>
          <t>BENGTSFORS</t>
        </is>
      </c>
      <c r="F4174" t="inlineStr">
        <is>
          <t>Kommuner</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7757-2020</t>
        </is>
      </c>
      <c r="B4175" s="1" t="n">
        <v>43872</v>
      </c>
      <c r="C4175" s="1" t="n">
        <v>45227</v>
      </c>
      <c r="D4175" t="inlineStr">
        <is>
          <t>VÄSTRA GÖTALANDS LÄN</t>
        </is>
      </c>
      <c r="E4175" t="inlineStr">
        <is>
          <t>STRÖMSTAD</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7776-2020</t>
        </is>
      </c>
      <c r="B4176" s="1" t="n">
        <v>43872</v>
      </c>
      <c r="C4176" s="1" t="n">
        <v>45227</v>
      </c>
      <c r="D4176" t="inlineStr">
        <is>
          <t>VÄSTRA GÖTALANDS LÄN</t>
        </is>
      </c>
      <c r="E4176" t="inlineStr">
        <is>
          <t>ULRICEHAMN</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7611-2020</t>
        </is>
      </c>
      <c r="B4177" s="1" t="n">
        <v>43872</v>
      </c>
      <c r="C4177" s="1" t="n">
        <v>45227</v>
      </c>
      <c r="D4177" t="inlineStr">
        <is>
          <t>VÄSTRA GÖTALANDS LÄN</t>
        </is>
      </c>
      <c r="E4177" t="inlineStr">
        <is>
          <t>SKARA</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7705-2020</t>
        </is>
      </c>
      <c r="B4178" s="1" t="n">
        <v>43872</v>
      </c>
      <c r="C4178" s="1" t="n">
        <v>45227</v>
      </c>
      <c r="D4178" t="inlineStr">
        <is>
          <t>VÄSTRA GÖTALANDS LÄN</t>
        </is>
      </c>
      <c r="E4178" t="inlineStr">
        <is>
          <t>VÅRGÅRDA</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7804-2020</t>
        </is>
      </c>
      <c r="B4179" s="1" t="n">
        <v>43873</v>
      </c>
      <c r="C4179" s="1" t="n">
        <v>45227</v>
      </c>
      <c r="D4179" t="inlineStr">
        <is>
          <t>VÄSTRA GÖTALANDS LÄN</t>
        </is>
      </c>
      <c r="E4179" t="inlineStr">
        <is>
          <t>ALE</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7912-2020</t>
        </is>
      </c>
      <c r="B4180" s="1" t="n">
        <v>43873</v>
      </c>
      <c r="C4180" s="1" t="n">
        <v>45227</v>
      </c>
      <c r="D4180" t="inlineStr">
        <is>
          <t>VÄSTRA GÖTALANDS LÄN</t>
        </is>
      </c>
      <c r="E4180" t="inlineStr">
        <is>
          <t>FALKÖPING</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8162-2020</t>
        </is>
      </c>
      <c r="B4181" s="1" t="n">
        <v>43873</v>
      </c>
      <c r="C4181" s="1" t="n">
        <v>45227</v>
      </c>
      <c r="D4181" t="inlineStr">
        <is>
          <t>VÄSTRA GÖTALANDS LÄN</t>
        </is>
      </c>
      <c r="E4181" t="inlineStr">
        <is>
          <t>BENGTSFORS</t>
        </is>
      </c>
      <c r="F4181" t="inlineStr">
        <is>
          <t>Övriga Aktiebolag</t>
        </is>
      </c>
      <c r="G4181" t="n">
        <v>11.7</v>
      </c>
      <c r="H4181" t="n">
        <v>0</v>
      </c>
      <c r="I4181" t="n">
        <v>0</v>
      </c>
      <c r="J4181" t="n">
        <v>0</v>
      </c>
      <c r="K4181" t="n">
        <v>0</v>
      </c>
      <c r="L4181" t="n">
        <v>0</v>
      </c>
      <c r="M4181" t="n">
        <v>0</v>
      </c>
      <c r="N4181" t="n">
        <v>0</v>
      </c>
      <c r="O4181" t="n">
        <v>0</v>
      </c>
      <c r="P4181" t="n">
        <v>0</v>
      </c>
      <c r="Q4181" t="n">
        <v>0</v>
      </c>
      <c r="R4181" s="2" t="inlineStr"/>
    </row>
    <row r="4182" ht="15" customHeight="1">
      <c r="A4182" t="inlineStr">
        <is>
          <t>A 7855-2020</t>
        </is>
      </c>
      <c r="B4182" s="1" t="n">
        <v>43873</v>
      </c>
      <c r="C4182" s="1" t="n">
        <v>45227</v>
      </c>
      <c r="D4182" t="inlineStr">
        <is>
          <t>VÄSTRA GÖTALANDS LÄN</t>
        </is>
      </c>
      <c r="E4182" t="inlineStr">
        <is>
          <t>SVENLJUNGA</t>
        </is>
      </c>
      <c r="F4182" t="inlineStr">
        <is>
          <t>Sveaskog</t>
        </is>
      </c>
      <c r="G4182" t="n">
        <v>2.2</v>
      </c>
      <c r="H4182" t="n">
        <v>0</v>
      </c>
      <c r="I4182" t="n">
        <v>0</v>
      </c>
      <c r="J4182" t="n">
        <v>0</v>
      </c>
      <c r="K4182" t="n">
        <v>0</v>
      </c>
      <c r="L4182" t="n">
        <v>0</v>
      </c>
      <c r="M4182" t="n">
        <v>0</v>
      </c>
      <c r="N4182" t="n">
        <v>0</v>
      </c>
      <c r="O4182" t="n">
        <v>0</v>
      </c>
      <c r="P4182" t="n">
        <v>0</v>
      </c>
      <c r="Q4182" t="n">
        <v>0</v>
      </c>
      <c r="R4182" s="2" t="inlineStr"/>
    </row>
    <row r="4183" ht="15" customHeight="1">
      <c r="A4183" t="inlineStr">
        <is>
          <t>A 7853-2020</t>
        </is>
      </c>
      <c r="B4183" s="1" t="n">
        <v>43873</v>
      </c>
      <c r="C4183" s="1" t="n">
        <v>45227</v>
      </c>
      <c r="D4183" t="inlineStr">
        <is>
          <t>VÄSTRA GÖTALANDS LÄN</t>
        </is>
      </c>
      <c r="E4183" t="inlineStr">
        <is>
          <t>BENGTSFORS</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7918-2020</t>
        </is>
      </c>
      <c r="B4184" s="1" t="n">
        <v>43873</v>
      </c>
      <c r="C4184" s="1" t="n">
        <v>45227</v>
      </c>
      <c r="D4184" t="inlineStr">
        <is>
          <t>VÄSTRA GÖTALANDS LÄN</t>
        </is>
      </c>
      <c r="E4184" t="inlineStr">
        <is>
          <t>TÖREBODA</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8003-2020</t>
        </is>
      </c>
      <c r="B4185" s="1" t="n">
        <v>43873</v>
      </c>
      <c r="C4185" s="1" t="n">
        <v>45227</v>
      </c>
      <c r="D4185" t="inlineStr">
        <is>
          <t>VÄSTRA GÖTALANDS LÄN</t>
        </is>
      </c>
      <c r="E4185" t="inlineStr">
        <is>
          <t>VÄNERSBORG</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8008-2020</t>
        </is>
      </c>
      <c r="B4186" s="1" t="n">
        <v>43873</v>
      </c>
      <c r="C4186" s="1" t="n">
        <v>45227</v>
      </c>
      <c r="D4186" t="inlineStr">
        <is>
          <t>VÄSTRA GÖTALANDS LÄN</t>
        </is>
      </c>
      <c r="E4186" t="inlineStr">
        <is>
          <t>GÖTENE</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8018-2020</t>
        </is>
      </c>
      <c r="B4187" s="1" t="n">
        <v>43873</v>
      </c>
      <c r="C4187" s="1" t="n">
        <v>45227</v>
      </c>
      <c r="D4187" t="inlineStr">
        <is>
          <t>VÄSTRA GÖTALANDS LÄN</t>
        </is>
      </c>
      <c r="E4187" t="inlineStr">
        <is>
          <t>KARLSBORG</t>
        </is>
      </c>
      <c r="F4187" t="inlineStr">
        <is>
          <t>Övriga Aktiebolag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7879-2020</t>
        </is>
      </c>
      <c r="B4188" s="1" t="n">
        <v>43873</v>
      </c>
      <c r="C4188" s="1" t="n">
        <v>45227</v>
      </c>
      <c r="D4188" t="inlineStr">
        <is>
          <t>VÄSTRA GÖTALANDS LÄN</t>
        </is>
      </c>
      <c r="E4188" t="inlineStr">
        <is>
          <t>BOLLEBYGD</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7905-2020</t>
        </is>
      </c>
      <c r="B4189" s="1" t="n">
        <v>43873</v>
      </c>
      <c r="C4189" s="1" t="n">
        <v>45227</v>
      </c>
      <c r="D4189" t="inlineStr">
        <is>
          <t>VÄSTRA GÖTALANDS LÄN</t>
        </is>
      </c>
      <c r="E4189" t="inlineStr">
        <is>
          <t>FALKÖPING</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7928-2020</t>
        </is>
      </c>
      <c r="B4190" s="1" t="n">
        <v>43873</v>
      </c>
      <c r="C4190" s="1" t="n">
        <v>45227</v>
      </c>
      <c r="D4190" t="inlineStr">
        <is>
          <t>VÄSTRA GÖTALANDS LÄN</t>
        </is>
      </c>
      <c r="E4190" t="inlineStr">
        <is>
          <t>TÖREBODA</t>
        </is>
      </c>
      <c r="G4190" t="n">
        <v>8.800000000000001</v>
      </c>
      <c r="H4190" t="n">
        <v>0</v>
      </c>
      <c r="I4190" t="n">
        <v>0</v>
      </c>
      <c r="J4190" t="n">
        <v>0</v>
      </c>
      <c r="K4190" t="n">
        <v>0</v>
      </c>
      <c r="L4190" t="n">
        <v>0</v>
      </c>
      <c r="M4190" t="n">
        <v>0</v>
      </c>
      <c r="N4190" t="n">
        <v>0</v>
      </c>
      <c r="O4190" t="n">
        <v>0</v>
      </c>
      <c r="P4190" t="n">
        <v>0</v>
      </c>
      <c r="Q4190" t="n">
        <v>0</v>
      </c>
      <c r="R4190" s="2" t="inlineStr"/>
    </row>
    <row r="4191" ht="15" customHeight="1">
      <c r="A4191" t="inlineStr">
        <is>
          <t>A 8006-2020</t>
        </is>
      </c>
      <c r="B4191" s="1" t="n">
        <v>43873</v>
      </c>
      <c r="C4191" s="1" t="n">
        <v>45227</v>
      </c>
      <c r="D4191" t="inlineStr">
        <is>
          <t>VÄSTRA GÖTALANDS LÄN</t>
        </is>
      </c>
      <c r="E4191" t="inlineStr">
        <is>
          <t>VÄNERSBORG</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8021-2020</t>
        </is>
      </c>
      <c r="B4192" s="1" t="n">
        <v>43873</v>
      </c>
      <c r="C4192" s="1" t="n">
        <v>45227</v>
      </c>
      <c r="D4192" t="inlineStr">
        <is>
          <t>VÄSTRA GÖTALANDS LÄN</t>
        </is>
      </c>
      <c r="E4192" t="inlineStr">
        <is>
          <t>KARLSBORG</t>
        </is>
      </c>
      <c r="F4192" t="inlineStr">
        <is>
          <t>Övriga Aktiebolag</t>
        </is>
      </c>
      <c r="G4192" t="n">
        <v>3.4</v>
      </c>
      <c r="H4192" t="n">
        <v>0</v>
      </c>
      <c r="I4192" t="n">
        <v>0</v>
      </c>
      <c r="J4192" t="n">
        <v>0</v>
      </c>
      <c r="K4192" t="n">
        <v>0</v>
      </c>
      <c r="L4192" t="n">
        <v>0</v>
      </c>
      <c r="M4192" t="n">
        <v>0</v>
      </c>
      <c r="N4192" t="n">
        <v>0</v>
      </c>
      <c r="O4192" t="n">
        <v>0</v>
      </c>
      <c r="P4192" t="n">
        <v>0</v>
      </c>
      <c r="Q4192" t="n">
        <v>0</v>
      </c>
      <c r="R4192" s="2" t="inlineStr"/>
    </row>
    <row r="4193" ht="15" customHeight="1">
      <c r="A4193" t="inlineStr">
        <is>
          <t>A 8035-2020</t>
        </is>
      </c>
      <c r="B4193" s="1" t="n">
        <v>43873</v>
      </c>
      <c r="C4193" s="1" t="n">
        <v>45227</v>
      </c>
      <c r="D4193" t="inlineStr">
        <is>
          <t>VÄSTRA GÖTALANDS LÄN</t>
        </is>
      </c>
      <c r="E4193" t="inlineStr">
        <is>
          <t>VÅRGÅRDA</t>
        </is>
      </c>
      <c r="G4193" t="n">
        <v>7</v>
      </c>
      <c r="H4193" t="n">
        <v>0</v>
      </c>
      <c r="I4193" t="n">
        <v>0</v>
      </c>
      <c r="J4193" t="n">
        <v>0</v>
      </c>
      <c r="K4193" t="n">
        <v>0</v>
      </c>
      <c r="L4193" t="n">
        <v>0</v>
      </c>
      <c r="M4193" t="n">
        <v>0</v>
      </c>
      <c r="N4193" t="n">
        <v>0</v>
      </c>
      <c r="O4193" t="n">
        <v>0</v>
      </c>
      <c r="P4193" t="n">
        <v>0</v>
      </c>
      <c r="Q4193" t="n">
        <v>0</v>
      </c>
      <c r="R4193" s="2" t="inlineStr"/>
    </row>
    <row r="4194" ht="15" customHeight="1">
      <c r="A4194" t="inlineStr">
        <is>
          <t>A 8232-2020</t>
        </is>
      </c>
      <c r="B4194" s="1" t="n">
        <v>43874</v>
      </c>
      <c r="C4194" s="1" t="n">
        <v>45227</v>
      </c>
      <c r="D4194" t="inlineStr">
        <is>
          <t>VÄSTRA GÖTALANDS LÄN</t>
        </is>
      </c>
      <c r="E4194" t="inlineStr">
        <is>
          <t>BOLLEBYGD</t>
        </is>
      </c>
      <c r="G4194" t="n">
        <v>3.1</v>
      </c>
      <c r="H4194" t="n">
        <v>0</v>
      </c>
      <c r="I4194" t="n">
        <v>0</v>
      </c>
      <c r="J4194" t="n">
        <v>0</v>
      </c>
      <c r="K4194" t="n">
        <v>0</v>
      </c>
      <c r="L4194" t="n">
        <v>0</v>
      </c>
      <c r="M4194" t="n">
        <v>0</v>
      </c>
      <c r="N4194" t="n">
        <v>0</v>
      </c>
      <c r="O4194" t="n">
        <v>0</v>
      </c>
      <c r="P4194" t="n">
        <v>0</v>
      </c>
      <c r="Q4194" t="n">
        <v>0</v>
      </c>
      <c r="R4194" s="2" t="inlineStr"/>
    </row>
    <row r="4195" ht="15" customHeight="1">
      <c r="A4195" t="inlineStr">
        <is>
          <t>A 8371-2020</t>
        </is>
      </c>
      <c r="B4195" s="1" t="n">
        <v>43874</v>
      </c>
      <c r="C4195" s="1" t="n">
        <v>45227</v>
      </c>
      <c r="D4195" t="inlineStr">
        <is>
          <t>VÄSTRA GÖTALANDS LÄN</t>
        </is>
      </c>
      <c r="E4195" t="inlineStr">
        <is>
          <t>MARK</t>
        </is>
      </c>
      <c r="G4195" t="n">
        <v>2.2</v>
      </c>
      <c r="H4195" t="n">
        <v>0</v>
      </c>
      <c r="I4195" t="n">
        <v>0</v>
      </c>
      <c r="J4195" t="n">
        <v>0</v>
      </c>
      <c r="K4195" t="n">
        <v>0</v>
      </c>
      <c r="L4195" t="n">
        <v>0</v>
      </c>
      <c r="M4195" t="n">
        <v>0</v>
      </c>
      <c r="N4195" t="n">
        <v>0</v>
      </c>
      <c r="O4195" t="n">
        <v>0</v>
      </c>
      <c r="P4195" t="n">
        <v>0</v>
      </c>
      <c r="Q4195" t="n">
        <v>0</v>
      </c>
      <c r="R4195" s="2" t="inlineStr"/>
    </row>
    <row r="4196" ht="15" customHeight="1">
      <c r="A4196" t="inlineStr">
        <is>
          <t>A 8168-2020</t>
        </is>
      </c>
      <c r="B4196" s="1" t="n">
        <v>43874</v>
      </c>
      <c r="C4196" s="1" t="n">
        <v>45227</v>
      </c>
      <c r="D4196" t="inlineStr">
        <is>
          <t>VÄSTRA GÖTALANDS LÄN</t>
        </is>
      </c>
      <c r="E4196" t="inlineStr">
        <is>
          <t>BENGTSFORS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8120-2020</t>
        </is>
      </c>
      <c r="B4197" s="1" t="n">
        <v>43874</v>
      </c>
      <c r="C4197" s="1" t="n">
        <v>45227</v>
      </c>
      <c r="D4197" t="inlineStr">
        <is>
          <t>VÄSTRA GÖTALANDS LÄN</t>
        </is>
      </c>
      <c r="E4197" t="inlineStr">
        <is>
          <t>FALKÖPING</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8155-2020</t>
        </is>
      </c>
      <c r="B4198" s="1" t="n">
        <v>43874</v>
      </c>
      <c r="C4198" s="1" t="n">
        <v>45227</v>
      </c>
      <c r="D4198" t="inlineStr">
        <is>
          <t>VÄSTRA GÖTALANDS LÄN</t>
        </is>
      </c>
      <c r="E4198" t="inlineStr">
        <is>
          <t>KARLSBORG</t>
        </is>
      </c>
      <c r="F4198" t="inlineStr">
        <is>
          <t>Övriga Aktiebolag</t>
        </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
        <is>
          <t>A 8167-2020</t>
        </is>
      </c>
      <c r="B4199" s="1" t="n">
        <v>43874</v>
      </c>
      <c r="C4199" s="1" t="n">
        <v>45227</v>
      </c>
      <c r="D4199" t="inlineStr">
        <is>
          <t>VÄSTRA GÖTALANDS LÄN</t>
        </is>
      </c>
      <c r="E4199" t="inlineStr">
        <is>
          <t>KARLSBORG</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8069-2020</t>
        </is>
      </c>
      <c r="B4200" s="1" t="n">
        <v>43874</v>
      </c>
      <c r="C4200" s="1" t="n">
        <v>45227</v>
      </c>
      <c r="D4200" t="inlineStr">
        <is>
          <t>VÄSTRA GÖTALANDS LÄN</t>
        </is>
      </c>
      <c r="E4200" t="inlineStr">
        <is>
          <t>KARLSBORG</t>
        </is>
      </c>
      <c r="F4200" t="inlineStr">
        <is>
          <t>Övriga Aktiebolag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8140-2020</t>
        </is>
      </c>
      <c r="B4201" s="1" t="n">
        <v>43874</v>
      </c>
      <c r="C4201" s="1" t="n">
        <v>45227</v>
      </c>
      <c r="D4201" t="inlineStr">
        <is>
          <t>VÄSTRA GÖTALANDS LÄN</t>
        </is>
      </c>
      <c r="E4201" t="inlineStr">
        <is>
          <t>TROLLHÄTTAN</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8161-2020</t>
        </is>
      </c>
      <c r="B4202" s="1" t="n">
        <v>43874</v>
      </c>
      <c r="C4202" s="1" t="n">
        <v>45227</v>
      </c>
      <c r="D4202" t="inlineStr">
        <is>
          <t>VÄSTRA GÖTALANDS LÄN</t>
        </is>
      </c>
      <c r="E4202" t="inlineStr">
        <is>
          <t>KARLSBORG</t>
        </is>
      </c>
      <c r="F4202" t="inlineStr">
        <is>
          <t>Övriga Aktiebolag</t>
        </is>
      </c>
      <c r="G4202" t="n">
        <v>3.7</v>
      </c>
      <c r="H4202" t="n">
        <v>0</v>
      </c>
      <c r="I4202" t="n">
        <v>0</v>
      </c>
      <c r="J4202" t="n">
        <v>0</v>
      </c>
      <c r="K4202" t="n">
        <v>0</v>
      </c>
      <c r="L4202" t="n">
        <v>0</v>
      </c>
      <c r="M4202" t="n">
        <v>0</v>
      </c>
      <c r="N4202" t="n">
        <v>0</v>
      </c>
      <c r="O4202" t="n">
        <v>0</v>
      </c>
      <c r="P4202" t="n">
        <v>0</v>
      </c>
      <c r="Q4202" t="n">
        <v>0</v>
      </c>
      <c r="R4202" s="2" t="inlineStr"/>
    </row>
    <row r="4203" ht="15" customHeight="1">
      <c r="A4203" t="inlineStr">
        <is>
          <t>A 8172-2020</t>
        </is>
      </c>
      <c r="B4203" s="1" t="n">
        <v>43874</v>
      </c>
      <c r="C4203" s="1" t="n">
        <v>45227</v>
      </c>
      <c r="D4203" t="inlineStr">
        <is>
          <t>VÄSTRA GÖTALANDS LÄN</t>
        </is>
      </c>
      <c r="E4203" t="inlineStr">
        <is>
          <t>KARLSBORG</t>
        </is>
      </c>
      <c r="F4203" t="inlineStr">
        <is>
          <t>Övriga Aktiebolag</t>
        </is>
      </c>
      <c r="G4203" t="n">
        <v>12.5</v>
      </c>
      <c r="H4203" t="n">
        <v>0</v>
      </c>
      <c r="I4203" t="n">
        <v>0</v>
      </c>
      <c r="J4203" t="n">
        <v>0</v>
      </c>
      <c r="K4203" t="n">
        <v>0</v>
      </c>
      <c r="L4203" t="n">
        <v>0</v>
      </c>
      <c r="M4203" t="n">
        <v>0</v>
      </c>
      <c r="N4203" t="n">
        <v>0</v>
      </c>
      <c r="O4203" t="n">
        <v>0</v>
      </c>
      <c r="P4203" t="n">
        <v>0</v>
      </c>
      <c r="Q4203" t="n">
        <v>0</v>
      </c>
      <c r="R4203" s="2" t="inlineStr"/>
    </row>
    <row r="4204" ht="15" customHeight="1">
      <c r="A4204" t="inlineStr">
        <is>
          <t>A 8177-2020</t>
        </is>
      </c>
      <c r="B4204" s="1" t="n">
        <v>43874</v>
      </c>
      <c r="C4204" s="1" t="n">
        <v>45227</v>
      </c>
      <c r="D4204" t="inlineStr">
        <is>
          <t>VÄSTRA GÖTALANDS LÄN</t>
        </is>
      </c>
      <c r="E4204" t="inlineStr">
        <is>
          <t>BENGTSFORS</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8375-2020</t>
        </is>
      </c>
      <c r="B4205" s="1" t="n">
        <v>43874</v>
      </c>
      <c r="C4205" s="1" t="n">
        <v>45227</v>
      </c>
      <c r="D4205" t="inlineStr">
        <is>
          <t>VÄSTRA GÖTALANDS LÄN</t>
        </is>
      </c>
      <c r="E4205" t="inlineStr">
        <is>
          <t>MELLERUD</t>
        </is>
      </c>
      <c r="F4205" t="inlineStr">
        <is>
          <t>Övriga Aktiebolag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8467-2020</t>
        </is>
      </c>
      <c r="B4206" s="1" t="n">
        <v>43875</v>
      </c>
      <c r="C4206" s="1" t="n">
        <v>45227</v>
      </c>
      <c r="D4206" t="inlineStr">
        <is>
          <t>VÄSTRA GÖTALANDS LÄN</t>
        </is>
      </c>
      <c r="E4206" t="inlineStr">
        <is>
          <t>HÄRRYDA</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8606-2020</t>
        </is>
      </c>
      <c r="B4207" s="1" t="n">
        <v>43875</v>
      </c>
      <c r="C4207" s="1" t="n">
        <v>45227</v>
      </c>
      <c r="D4207" t="inlineStr">
        <is>
          <t>VÄSTRA GÖTALANDS LÄN</t>
        </is>
      </c>
      <c r="E4207" t="inlineStr">
        <is>
          <t>VARA</t>
        </is>
      </c>
      <c r="G4207" t="n">
        <v>5.6</v>
      </c>
      <c r="H4207" t="n">
        <v>0</v>
      </c>
      <c r="I4207" t="n">
        <v>0</v>
      </c>
      <c r="J4207" t="n">
        <v>0</v>
      </c>
      <c r="K4207" t="n">
        <v>0</v>
      </c>
      <c r="L4207" t="n">
        <v>0</v>
      </c>
      <c r="M4207" t="n">
        <v>0</v>
      </c>
      <c r="N4207" t="n">
        <v>0</v>
      </c>
      <c r="O4207" t="n">
        <v>0</v>
      </c>
      <c r="P4207" t="n">
        <v>0</v>
      </c>
      <c r="Q4207" t="n">
        <v>0</v>
      </c>
      <c r="R4207" s="2" t="inlineStr"/>
    </row>
    <row r="4208" ht="15" customHeight="1">
      <c r="A4208" t="inlineStr">
        <is>
          <t>A 8318-2020</t>
        </is>
      </c>
      <c r="B4208" s="1" t="n">
        <v>43875</v>
      </c>
      <c r="C4208" s="1" t="n">
        <v>45227</v>
      </c>
      <c r="D4208" t="inlineStr">
        <is>
          <t>VÄSTRA GÖTALANDS LÄN</t>
        </is>
      </c>
      <c r="E4208" t="inlineStr">
        <is>
          <t>STENUNGSUND</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8701-2020</t>
        </is>
      </c>
      <c r="B4209" s="1" t="n">
        <v>43875</v>
      </c>
      <c r="C4209" s="1" t="n">
        <v>45227</v>
      </c>
      <c r="D4209" t="inlineStr">
        <is>
          <t>VÄSTRA GÖTALANDS LÄN</t>
        </is>
      </c>
      <c r="E4209" t="inlineStr">
        <is>
          <t>VÅRGÅRDA</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8547-2020</t>
        </is>
      </c>
      <c r="B4210" s="1" t="n">
        <v>43876</v>
      </c>
      <c r="C4210" s="1" t="n">
        <v>45227</v>
      </c>
      <c r="D4210" t="inlineStr">
        <is>
          <t>VÄSTRA GÖTALANDS LÄN</t>
        </is>
      </c>
      <c r="E4210" t="inlineStr">
        <is>
          <t>BORÅS</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8548-2020</t>
        </is>
      </c>
      <c r="B4211" s="1" t="n">
        <v>43876</v>
      </c>
      <c r="C4211" s="1" t="n">
        <v>45227</v>
      </c>
      <c r="D4211" t="inlineStr">
        <is>
          <t>VÄSTRA GÖTALANDS LÄN</t>
        </is>
      </c>
      <c r="E4211" t="inlineStr">
        <is>
          <t>BORÅS</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8615-2020</t>
        </is>
      </c>
      <c r="B4212" s="1" t="n">
        <v>43878</v>
      </c>
      <c r="C4212" s="1" t="n">
        <v>45227</v>
      </c>
      <c r="D4212" t="inlineStr">
        <is>
          <t>VÄSTRA GÖTALANDS LÄN</t>
        </is>
      </c>
      <c r="E4212" t="inlineStr">
        <is>
          <t>STENUNGSUND</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8705-2020</t>
        </is>
      </c>
      <c r="B4213" s="1" t="n">
        <v>43878</v>
      </c>
      <c r="C4213" s="1" t="n">
        <v>45227</v>
      </c>
      <c r="D4213" t="inlineStr">
        <is>
          <t>VÄSTRA GÖTALANDS LÄN</t>
        </is>
      </c>
      <c r="E4213" t="inlineStr">
        <is>
          <t>FALKÖPING</t>
        </is>
      </c>
      <c r="G4213" t="n">
        <v>5.8</v>
      </c>
      <c r="H4213" t="n">
        <v>0</v>
      </c>
      <c r="I4213" t="n">
        <v>0</v>
      </c>
      <c r="J4213" t="n">
        <v>0</v>
      </c>
      <c r="K4213" t="n">
        <v>0</v>
      </c>
      <c r="L4213" t="n">
        <v>0</v>
      </c>
      <c r="M4213" t="n">
        <v>0</v>
      </c>
      <c r="N4213" t="n">
        <v>0</v>
      </c>
      <c r="O4213" t="n">
        <v>0</v>
      </c>
      <c r="P4213" t="n">
        <v>0</v>
      </c>
      <c r="Q4213" t="n">
        <v>0</v>
      </c>
      <c r="R4213" s="2" t="inlineStr"/>
    </row>
    <row r="4214" ht="15" customHeight="1">
      <c r="A4214" t="inlineStr">
        <is>
          <t>A 8773-2020</t>
        </is>
      </c>
      <c r="B4214" s="1" t="n">
        <v>43878</v>
      </c>
      <c r="C4214" s="1" t="n">
        <v>45227</v>
      </c>
      <c r="D4214" t="inlineStr">
        <is>
          <t>VÄSTRA GÖTALANDS LÄN</t>
        </is>
      </c>
      <c r="E4214" t="inlineStr">
        <is>
          <t>LILLA EDET</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8965-2020</t>
        </is>
      </c>
      <c r="B4215" s="1" t="n">
        <v>43878</v>
      </c>
      <c r="C4215" s="1" t="n">
        <v>45227</v>
      </c>
      <c r="D4215" t="inlineStr">
        <is>
          <t>VÄSTRA GÖTALANDS LÄN</t>
        </is>
      </c>
      <c r="E4215" t="inlineStr">
        <is>
          <t>TROLLHÄTTAN</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8730-2020</t>
        </is>
      </c>
      <c r="B4216" s="1" t="n">
        <v>43878</v>
      </c>
      <c r="C4216" s="1" t="n">
        <v>45227</v>
      </c>
      <c r="D4216" t="inlineStr">
        <is>
          <t>VÄSTRA GÖTALANDS LÄN</t>
        </is>
      </c>
      <c r="E4216" t="inlineStr">
        <is>
          <t>TIDAHOLM</t>
        </is>
      </c>
      <c r="F4216" t="inlineStr">
        <is>
          <t>Sveaskog</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8767-2020</t>
        </is>
      </c>
      <c r="B4217" s="1" t="n">
        <v>43878</v>
      </c>
      <c r="C4217" s="1" t="n">
        <v>45227</v>
      </c>
      <c r="D4217" t="inlineStr">
        <is>
          <t>VÄSTRA GÖTALANDS LÄN</t>
        </is>
      </c>
      <c r="E4217" t="inlineStr">
        <is>
          <t>FÄRGELANDA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8925-2020</t>
        </is>
      </c>
      <c r="B4218" s="1" t="n">
        <v>43878</v>
      </c>
      <c r="C4218" s="1" t="n">
        <v>45227</v>
      </c>
      <c r="D4218" t="inlineStr">
        <is>
          <t>VÄSTRA GÖTALANDS LÄN</t>
        </is>
      </c>
      <c r="E4218" t="inlineStr">
        <is>
          <t>VARA</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9305-2020</t>
        </is>
      </c>
      <c r="B4219" s="1" t="n">
        <v>43878</v>
      </c>
      <c r="C4219" s="1" t="n">
        <v>45227</v>
      </c>
      <c r="D4219" t="inlineStr">
        <is>
          <t>VÄSTRA GÖTALANDS LÄN</t>
        </is>
      </c>
      <c r="E4219" t="inlineStr">
        <is>
          <t>MUNKEDAL</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8707-2020</t>
        </is>
      </c>
      <c r="B4220" s="1" t="n">
        <v>43878</v>
      </c>
      <c r="C4220" s="1" t="n">
        <v>45227</v>
      </c>
      <c r="D4220" t="inlineStr">
        <is>
          <t>VÄSTRA GÖTALANDS LÄN</t>
        </is>
      </c>
      <c r="E4220" t="inlineStr">
        <is>
          <t>BORÅS</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8857-2020</t>
        </is>
      </c>
      <c r="B4221" s="1" t="n">
        <v>43878</v>
      </c>
      <c r="C4221" s="1" t="n">
        <v>45227</v>
      </c>
      <c r="D4221" t="inlineStr">
        <is>
          <t>VÄSTRA GÖTALANDS LÄN</t>
        </is>
      </c>
      <c r="E4221" t="inlineStr">
        <is>
          <t>UDDEVALLA</t>
        </is>
      </c>
      <c r="G4221" t="n">
        <v>5.7</v>
      </c>
      <c r="H4221" t="n">
        <v>0</v>
      </c>
      <c r="I4221" t="n">
        <v>0</v>
      </c>
      <c r="J4221" t="n">
        <v>0</v>
      </c>
      <c r="K4221" t="n">
        <v>0</v>
      </c>
      <c r="L4221" t="n">
        <v>0</v>
      </c>
      <c r="M4221" t="n">
        <v>0</v>
      </c>
      <c r="N4221" t="n">
        <v>0</v>
      </c>
      <c r="O4221" t="n">
        <v>0</v>
      </c>
      <c r="P4221" t="n">
        <v>0</v>
      </c>
      <c r="Q4221" t="n">
        <v>0</v>
      </c>
      <c r="R4221" s="2" t="inlineStr"/>
    </row>
    <row r="4222" ht="15" customHeight="1">
      <c r="A4222" t="inlineStr">
        <is>
          <t>A 9025-2020</t>
        </is>
      </c>
      <c r="B4222" s="1" t="n">
        <v>43879</v>
      </c>
      <c r="C4222" s="1" t="n">
        <v>45227</v>
      </c>
      <c r="D4222" t="inlineStr">
        <is>
          <t>VÄSTRA GÖTALANDS LÄN</t>
        </is>
      </c>
      <c r="E4222" t="inlineStr">
        <is>
          <t>VÅRGÅRDA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9133-2020</t>
        </is>
      </c>
      <c r="B4223" s="1" t="n">
        <v>43879</v>
      </c>
      <c r="C4223" s="1" t="n">
        <v>45227</v>
      </c>
      <c r="D4223" t="inlineStr">
        <is>
          <t>VÄSTRA GÖTALANDS LÄN</t>
        </is>
      </c>
      <c r="E4223" t="inlineStr">
        <is>
          <t>ALINGSÅS</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9154-2020</t>
        </is>
      </c>
      <c r="B4224" s="1" t="n">
        <v>43879</v>
      </c>
      <c r="C4224" s="1" t="n">
        <v>45227</v>
      </c>
      <c r="D4224" t="inlineStr">
        <is>
          <t>VÄSTRA GÖTALANDS LÄN</t>
        </is>
      </c>
      <c r="E4224" t="inlineStr">
        <is>
          <t>ALE</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9182-2020</t>
        </is>
      </c>
      <c r="B4225" s="1" t="n">
        <v>43879</v>
      </c>
      <c r="C4225" s="1" t="n">
        <v>45227</v>
      </c>
      <c r="D4225" t="inlineStr">
        <is>
          <t>VÄSTRA GÖTALANDS LÄN</t>
        </is>
      </c>
      <c r="E4225" t="inlineStr">
        <is>
          <t>HERRLJUNGA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9126-2020</t>
        </is>
      </c>
      <c r="B4226" s="1" t="n">
        <v>43879</v>
      </c>
      <c r="C4226" s="1" t="n">
        <v>45227</v>
      </c>
      <c r="D4226" t="inlineStr">
        <is>
          <t>VÄSTRA GÖTALANDS LÄN</t>
        </is>
      </c>
      <c r="E4226" t="inlineStr">
        <is>
          <t>ALINGSÅS</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9142-2020</t>
        </is>
      </c>
      <c r="B4227" s="1" t="n">
        <v>43879</v>
      </c>
      <c r="C4227" s="1" t="n">
        <v>45227</v>
      </c>
      <c r="D4227" t="inlineStr">
        <is>
          <t>VÄSTRA GÖTALANDS LÄN</t>
        </is>
      </c>
      <c r="E4227" t="inlineStr">
        <is>
          <t>VÄNERSBORG</t>
        </is>
      </c>
      <c r="G4227" t="n">
        <v>4.1</v>
      </c>
      <c r="H4227" t="n">
        <v>0</v>
      </c>
      <c r="I4227" t="n">
        <v>0</v>
      </c>
      <c r="J4227" t="n">
        <v>0</v>
      </c>
      <c r="K4227" t="n">
        <v>0</v>
      </c>
      <c r="L4227" t="n">
        <v>0</v>
      </c>
      <c r="M4227" t="n">
        <v>0</v>
      </c>
      <c r="N4227" t="n">
        <v>0</v>
      </c>
      <c r="O4227" t="n">
        <v>0</v>
      </c>
      <c r="P4227" t="n">
        <v>0</v>
      </c>
      <c r="Q4227" t="n">
        <v>0</v>
      </c>
      <c r="R4227" s="2" t="inlineStr"/>
    </row>
    <row r="4228" ht="15" customHeight="1">
      <c r="A4228" t="inlineStr">
        <is>
          <t>A 9167-2020</t>
        </is>
      </c>
      <c r="B4228" s="1" t="n">
        <v>43879</v>
      </c>
      <c r="C4228" s="1" t="n">
        <v>45227</v>
      </c>
      <c r="D4228" t="inlineStr">
        <is>
          <t>VÄSTRA GÖTALANDS LÄN</t>
        </is>
      </c>
      <c r="E4228" t="inlineStr">
        <is>
          <t>FÄRGELANDA</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9155-2020</t>
        </is>
      </c>
      <c r="B4229" s="1" t="n">
        <v>43879</v>
      </c>
      <c r="C4229" s="1" t="n">
        <v>45227</v>
      </c>
      <c r="D4229" t="inlineStr">
        <is>
          <t>VÄSTRA GÖTALANDS LÄN</t>
        </is>
      </c>
      <c r="E4229" t="inlineStr">
        <is>
          <t>VÄNERSBORG</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9229-2020</t>
        </is>
      </c>
      <c r="B4230" s="1" t="n">
        <v>43879</v>
      </c>
      <c r="C4230" s="1" t="n">
        <v>45227</v>
      </c>
      <c r="D4230" t="inlineStr">
        <is>
          <t>VÄSTRA GÖTALANDS LÄN</t>
        </is>
      </c>
      <c r="E4230" t="inlineStr">
        <is>
          <t>ULRICEHAMN</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9316-2020</t>
        </is>
      </c>
      <c r="B4231" s="1" t="n">
        <v>43880</v>
      </c>
      <c r="C4231" s="1" t="n">
        <v>45227</v>
      </c>
      <c r="D4231" t="inlineStr">
        <is>
          <t>VÄSTRA GÖTALANDS LÄN</t>
        </is>
      </c>
      <c r="E4231" t="inlineStr">
        <is>
          <t>KUNGÄLV</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9336-2020</t>
        </is>
      </c>
      <c r="B4232" s="1" t="n">
        <v>43880</v>
      </c>
      <c r="C4232" s="1" t="n">
        <v>45227</v>
      </c>
      <c r="D4232" t="inlineStr">
        <is>
          <t>VÄSTRA GÖTALANDS LÄN</t>
        </is>
      </c>
      <c r="E4232" t="inlineStr">
        <is>
          <t>GULLSPÅNG</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9499-2020</t>
        </is>
      </c>
      <c r="B4233" s="1" t="n">
        <v>43880</v>
      </c>
      <c r="C4233" s="1" t="n">
        <v>45227</v>
      </c>
      <c r="D4233" t="inlineStr">
        <is>
          <t>VÄSTRA GÖTALANDS LÄN</t>
        </is>
      </c>
      <c r="E4233" t="inlineStr">
        <is>
          <t>HJO</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9436-2020</t>
        </is>
      </c>
      <c r="B4234" s="1" t="n">
        <v>43880</v>
      </c>
      <c r="C4234" s="1" t="n">
        <v>45227</v>
      </c>
      <c r="D4234" t="inlineStr">
        <is>
          <t>VÄSTRA GÖTALANDS LÄN</t>
        </is>
      </c>
      <c r="E4234" t="inlineStr">
        <is>
          <t>BOLLEBYGD</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9490-2020</t>
        </is>
      </c>
      <c r="B4235" s="1" t="n">
        <v>43880</v>
      </c>
      <c r="C4235" s="1" t="n">
        <v>45227</v>
      </c>
      <c r="D4235" t="inlineStr">
        <is>
          <t>VÄSTRA GÖTALANDS LÄN</t>
        </is>
      </c>
      <c r="E4235" t="inlineStr">
        <is>
          <t>BENGTSFORS</t>
        </is>
      </c>
      <c r="G4235" t="n">
        <v>3.4</v>
      </c>
      <c r="H4235" t="n">
        <v>0</v>
      </c>
      <c r="I4235" t="n">
        <v>0</v>
      </c>
      <c r="J4235" t="n">
        <v>0</v>
      </c>
      <c r="K4235" t="n">
        <v>0</v>
      </c>
      <c r="L4235" t="n">
        <v>0</v>
      </c>
      <c r="M4235" t="n">
        <v>0</v>
      </c>
      <c r="N4235" t="n">
        <v>0</v>
      </c>
      <c r="O4235" t="n">
        <v>0</v>
      </c>
      <c r="P4235" t="n">
        <v>0</v>
      </c>
      <c r="Q4235" t="n">
        <v>0</v>
      </c>
      <c r="R4235" s="2" t="inlineStr"/>
    </row>
    <row r="4236" ht="15" customHeight="1">
      <c r="A4236" t="inlineStr">
        <is>
          <t>A 9840-2020</t>
        </is>
      </c>
      <c r="B4236" s="1" t="n">
        <v>43881</v>
      </c>
      <c r="C4236" s="1" t="n">
        <v>45227</v>
      </c>
      <c r="D4236" t="inlineStr">
        <is>
          <t>VÄSTRA GÖTALANDS LÄN</t>
        </is>
      </c>
      <c r="E4236" t="inlineStr">
        <is>
          <t>STRÖMSTAD</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9622-2020</t>
        </is>
      </c>
      <c r="B4237" s="1" t="n">
        <v>43881</v>
      </c>
      <c r="C4237" s="1" t="n">
        <v>45227</v>
      </c>
      <c r="D4237" t="inlineStr">
        <is>
          <t>VÄSTRA GÖTALANDS LÄN</t>
        </is>
      </c>
      <c r="E4237" t="inlineStr">
        <is>
          <t>FÄRGELANDA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9789-2020</t>
        </is>
      </c>
      <c r="B4238" s="1" t="n">
        <v>43881</v>
      </c>
      <c r="C4238" s="1" t="n">
        <v>45227</v>
      </c>
      <c r="D4238" t="inlineStr">
        <is>
          <t>VÄSTRA GÖTALANDS LÄN</t>
        </is>
      </c>
      <c r="E4238" t="inlineStr">
        <is>
          <t>ÅMÅL</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9773-2020</t>
        </is>
      </c>
      <c r="B4239" s="1" t="n">
        <v>43881</v>
      </c>
      <c r="C4239" s="1" t="n">
        <v>45227</v>
      </c>
      <c r="D4239" t="inlineStr">
        <is>
          <t>VÄSTRA GÖTALANDS LÄN</t>
        </is>
      </c>
      <c r="E4239" t="inlineStr">
        <is>
          <t>ULRICEHAMN</t>
        </is>
      </c>
      <c r="G4239" t="n">
        <v>3.7</v>
      </c>
      <c r="H4239" t="n">
        <v>0</v>
      </c>
      <c r="I4239" t="n">
        <v>0</v>
      </c>
      <c r="J4239" t="n">
        <v>0</v>
      </c>
      <c r="K4239" t="n">
        <v>0</v>
      </c>
      <c r="L4239" t="n">
        <v>0</v>
      </c>
      <c r="M4239" t="n">
        <v>0</v>
      </c>
      <c r="N4239" t="n">
        <v>0</v>
      </c>
      <c r="O4239" t="n">
        <v>0</v>
      </c>
      <c r="P4239" t="n">
        <v>0</v>
      </c>
      <c r="Q4239" t="n">
        <v>0</v>
      </c>
      <c r="R4239" s="2" t="inlineStr"/>
    </row>
    <row r="4240" ht="15" customHeight="1">
      <c r="A4240" t="inlineStr">
        <is>
          <t>A 9864-2020</t>
        </is>
      </c>
      <c r="B4240" s="1" t="n">
        <v>43882</v>
      </c>
      <c r="C4240" s="1" t="n">
        <v>45227</v>
      </c>
      <c r="D4240" t="inlineStr">
        <is>
          <t>VÄSTRA GÖTALANDS LÄN</t>
        </is>
      </c>
      <c r="E4240" t="inlineStr">
        <is>
          <t>BENGTSFORS</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9998-2020</t>
        </is>
      </c>
      <c r="B4241" s="1" t="n">
        <v>43882</v>
      </c>
      <c r="C4241" s="1" t="n">
        <v>45227</v>
      </c>
      <c r="D4241" t="inlineStr">
        <is>
          <t>VÄSTRA GÖTALANDS LÄN</t>
        </is>
      </c>
      <c r="E4241" t="inlineStr">
        <is>
          <t>BORÅS</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9854-2020</t>
        </is>
      </c>
      <c r="B4242" s="1" t="n">
        <v>43882</v>
      </c>
      <c r="C4242" s="1" t="n">
        <v>45227</v>
      </c>
      <c r="D4242" t="inlineStr">
        <is>
          <t>VÄSTRA GÖTALANDS LÄN</t>
        </is>
      </c>
      <c r="E4242" t="inlineStr">
        <is>
          <t>ALINGSÅS</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9886-2020</t>
        </is>
      </c>
      <c r="B4243" s="1" t="n">
        <v>43882</v>
      </c>
      <c r="C4243" s="1" t="n">
        <v>45227</v>
      </c>
      <c r="D4243" t="inlineStr">
        <is>
          <t>VÄSTRA GÖTALANDS LÄN</t>
        </is>
      </c>
      <c r="E4243" t="inlineStr">
        <is>
          <t>TRANEMO</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9906-2020</t>
        </is>
      </c>
      <c r="B4244" s="1" t="n">
        <v>43882</v>
      </c>
      <c r="C4244" s="1" t="n">
        <v>45227</v>
      </c>
      <c r="D4244" t="inlineStr">
        <is>
          <t>VÄSTRA GÖTALANDS LÄN</t>
        </is>
      </c>
      <c r="E4244" t="inlineStr">
        <is>
          <t>TÖREBODA</t>
        </is>
      </c>
      <c r="F4244" t="inlineStr">
        <is>
          <t>Övriga statliga verk och myndigheter</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10071-2020</t>
        </is>
      </c>
      <c r="B4245" s="1" t="n">
        <v>43884</v>
      </c>
      <c r="C4245" s="1" t="n">
        <v>45227</v>
      </c>
      <c r="D4245" t="inlineStr">
        <is>
          <t>VÄSTRA GÖTALANDS LÄN</t>
        </is>
      </c>
      <c r="E4245" t="inlineStr">
        <is>
          <t>FÄRGELANDA</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10081-2020</t>
        </is>
      </c>
      <c r="B4246" s="1" t="n">
        <v>43885</v>
      </c>
      <c r="C4246" s="1" t="n">
        <v>45227</v>
      </c>
      <c r="D4246" t="inlineStr">
        <is>
          <t>VÄSTRA GÖTALANDS LÄN</t>
        </is>
      </c>
      <c r="E4246" t="inlineStr">
        <is>
          <t>TÖREBODA</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10179-2020</t>
        </is>
      </c>
      <c r="B4247" s="1" t="n">
        <v>43885</v>
      </c>
      <c r="C4247" s="1" t="n">
        <v>45227</v>
      </c>
      <c r="D4247" t="inlineStr">
        <is>
          <t>VÄSTRA GÖTALANDS LÄN</t>
        </is>
      </c>
      <c r="E4247" t="inlineStr">
        <is>
          <t>SKARA</t>
        </is>
      </c>
      <c r="G4247" t="n">
        <v>1.9</v>
      </c>
      <c r="H4247" t="n">
        <v>0</v>
      </c>
      <c r="I4247" t="n">
        <v>0</v>
      </c>
      <c r="J4247" t="n">
        <v>0</v>
      </c>
      <c r="K4247" t="n">
        <v>0</v>
      </c>
      <c r="L4247" t="n">
        <v>0</v>
      </c>
      <c r="M4247" t="n">
        <v>0</v>
      </c>
      <c r="N4247" t="n">
        <v>0</v>
      </c>
      <c r="O4247" t="n">
        <v>0</v>
      </c>
      <c r="P4247" t="n">
        <v>0</v>
      </c>
      <c r="Q4247" t="n">
        <v>0</v>
      </c>
      <c r="R4247" s="2" t="inlineStr"/>
    </row>
    <row r="4248" ht="15" customHeight="1">
      <c r="A4248" t="inlineStr">
        <is>
          <t>A 10350-2020</t>
        </is>
      </c>
      <c r="B4248" s="1" t="n">
        <v>43885</v>
      </c>
      <c r="C4248" s="1" t="n">
        <v>45227</v>
      </c>
      <c r="D4248" t="inlineStr">
        <is>
          <t>VÄSTRA GÖTALANDS LÄN</t>
        </is>
      </c>
      <c r="E4248" t="inlineStr">
        <is>
          <t>SKÖVDE</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10381-2020</t>
        </is>
      </c>
      <c r="B4249" s="1" t="n">
        <v>43885</v>
      </c>
      <c r="C4249" s="1" t="n">
        <v>45227</v>
      </c>
      <c r="D4249" t="inlineStr">
        <is>
          <t>VÄSTRA GÖTALANDS LÄN</t>
        </is>
      </c>
      <c r="E4249" t="inlineStr">
        <is>
          <t>BENGTSFORS</t>
        </is>
      </c>
      <c r="G4249" t="n">
        <v>2.9</v>
      </c>
      <c r="H4249" t="n">
        <v>0</v>
      </c>
      <c r="I4249" t="n">
        <v>0</v>
      </c>
      <c r="J4249" t="n">
        <v>0</v>
      </c>
      <c r="K4249" t="n">
        <v>0</v>
      </c>
      <c r="L4249" t="n">
        <v>0</v>
      </c>
      <c r="M4249" t="n">
        <v>0</v>
      </c>
      <c r="N4249" t="n">
        <v>0</v>
      </c>
      <c r="O4249" t="n">
        <v>0</v>
      </c>
      <c r="P4249" t="n">
        <v>0</v>
      </c>
      <c r="Q4249" t="n">
        <v>0</v>
      </c>
      <c r="R4249" s="2" t="inlineStr"/>
    </row>
    <row r="4250" ht="15" customHeight="1">
      <c r="A4250" t="inlineStr">
        <is>
          <t>A 10399-2020</t>
        </is>
      </c>
      <c r="B4250" s="1" t="n">
        <v>43885</v>
      </c>
      <c r="C4250" s="1" t="n">
        <v>45227</v>
      </c>
      <c r="D4250" t="inlineStr">
        <is>
          <t>VÄSTRA GÖTALANDS LÄN</t>
        </is>
      </c>
      <c r="E4250" t="inlineStr">
        <is>
          <t>STRÖMSTAD</t>
        </is>
      </c>
      <c r="G4250" t="n">
        <v>4.3</v>
      </c>
      <c r="H4250" t="n">
        <v>0</v>
      </c>
      <c r="I4250" t="n">
        <v>0</v>
      </c>
      <c r="J4250" t="n">
        <v>0</v>
      </c>
      <c r="K4250" t="n">
        <v>0</v>
      </c>
      <c r="L4250" t="n">
        <v>0</v>
      </c>
      <c r="M4250" t="n">
        <v>0</v>
      </c>
      <c r="N4250" t="n">
        <v>0</v>
      </c>
      <c r="O4250" t="n">
        <v>0</v>
      </c>
      <c r="P4250" t="n">
        <v>0</v>
      </c>
      <c r="Q4250" t="n">
        <v>0</v>
      </c>
      <c r="R4250" s="2" t="inlineStr"/>
    </row>
    <row r="4251" ht="15" customHeight="1">
      <c r="A4251" t="inlineStr">
        <is>
          <t>A 10079-2020</t>
        </is>
      </c>
      <c r="B4251" s="1" t="n">
        <v>43886</v>
      </c>
      <c r="C4251" s="1" t="n">
        <v>45227</v>
      </c>
      <c r="D4251" t="inlineStr">
        <is>
          <t>VÄSTRA GÖTALANDS LÄN</t>
        </is>
      </c>
      <c r="E4251" t="inlineStr">
        <is>
          <t>ALE</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10423-2020</t>
        </is>
      </c>
      <c r="B4252" s="1" t="n">
        <v>43886</v>
      </c>
      <c r="C4252" s="1" t="n">
        <v>45227</v>
      </c>
      <c r="D4252" t="inlineStr">
        <is>
          <t>VÄSTRA GÖTALANDS LÄN</t>
        </is>
      </c>
      <c r="E4252" t="inlineStr">
        <is>
          <t>STENUNGSUND</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10429-2020</t>
        </is>
      </c>
      <c r="B4253" s="1" t="n">
        <v>43886</v>
      </c>
      <c r="C4253" s="1" t="n">
        <v>45227</v>
      </c>
      <c r="D4253" t="inlineStr">
        <is>
          <t>VÄSTRA GÖTALANDS LÄN</t>
        </is>
      </c>
      <c r="E4253" t="inlineStr">
        <is>
          <t>TÖREBODA</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11366-2020</t>
        </is>
      </c>
      <c r="B4254" s="1" t="n">
        <v>43886</v>
      </c>
      <c r="C4254" s="1" t="n">
        <v>45227</v>
      </c>
      <c r="D4254" t="inlineStr">
        <is>
          <t>VÄSTRA GÖTALANDS LÄN</t>
        </is>
      </c>
      <c r="E4254" t="inlineStr">
        <is>
          <t>DALS-ED</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10499-2020</t>
        </is>
      </c>
      <c r="B4255" s="1" t="n">
        <v>43886</v>
      </c>
      <c r="C4255" s="1" t="n">
        <v>45227</v>
      </c>
      <c r="D4255" t="inlineStr">
        <is>
          <t>VÄSTRA GÖTALANDS LÄN</t>
        </is>
      </c>
      <c r="E4255" t="inlineStr">
        <is>
          <t>ULRICEHAMN</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10157-2020</t>
        </is>
      </c>
      <c r="B4256" s="1" t="n">
        <v>43886</v>
      </c>
      <c r="C4256" s="1" t="n">
        <v>45227</v>
      </c>
      <c r="D4256" t="inlineStr">
        <is>
          <t>VÄSTRA GÖTALANDS LÄN</t>
        </is>
      </c>
      <c r="E4256" t="inlineStr">
        <is>
          <t>ULRICEHAMN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10433-2020</t>
        </is>
      </c>
      <c r="B4257" s="1" t="n">
        <v>43886</v>
      </c>
      <c r="C4257" s="1" t="n">
        <v>45227</v>
      </c>
      <c r="D4257" t="inlineStr">
        <is>
          <t>VÄSTRA GÖTALANDS LÄN</t>
        </is>
      </c>
      <c r="E4257" t="inlineStr">
        <is>
          <t>DALS-ED</t>
        </is>
      </c>
      <c r="F4257" t="inlineStr">
        <is>
          <t>Bergvik skog väst AB</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11370-2020</t>
        </is>
      </c>
      <c r="B4258" s="1" t="n">
        <v>43886</v>
      </c>
      <c r="C4258" s="1" t="n">
        <v>45227</v>
      </c>
      <c r="D4258" t="inlineStr">
        <is>
          <t>VÄSTRA GÖTALANDS LÄN</t>
        </is>
      </c>
      <c r="E4258" t="inlineStr">
        <is>
          <t>DALS-ED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10421-2020</t>
        </is>
      </c>
      <c r="B4259" s="1" t="n">
        <v>43886</v>
      </c>
      <c r="C4259" s="1" t="n">
        <v>45227</v>
      </c>
      <c r="D4259" t="inlineStr">
        <is>
          <t>VÄSTRA GÖTALANDS LÄN</t>
        </is>
      </c>
      <c r="E4259" t="inlineStr">
        <is>
          <t>BORÅS</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10520-2020</t>
        </is>
      </c>
      <c r="B4260" s="1" t="n">
        <v>43886</v>
      </c>
      <c r="C4260" s="1" t="n">
        <v>45227</v>
      </c>
      <c r="D4260" t="inlineStr">
        <is>
          <t>VÄSTRA GÖTALANDS LÄN</t>
        </is>
      </c>
      <c r="E4260" t="inlineStr">
        <is>
          <t>ALINGSÅS</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10177-2020</t>
        </is>
      </c>
      <c r="B4261" s="1" t="n">
        <v>43887</v>
      </c>
      <c r="C4261" s="1" t="n">
        <v>45227</v>
      </c>
      <c r="D4261" t="inlineStr">
        <is>
          <t>VÄSTRA GÖTALANDS LÄN</t>
        </is>
      </c>
      <c r="E4261" t="inlineStr">
        <is>
          <t>UDDEVALLA</t>
        </is>
      </c>
      <c r="G4261" t="n">
        <v>2.6</v>
      </c>
      <c r="H4261" t="n">
        <v>0</v>
      </c>
      <c r="I4261" t="n">
        <v>0</v>
      </c>
      <c r="J4261" t="n">
        <v>0</v>
      </c>
      <c r="K4261" t="n">
        <v>0</v>
      </c>
      <c r="L4261" t="n">
        <v>0</v>
      </c>
      <c r="M4261" t="n">
        <v>0</v>
      </c>
      <c r="N4261" t="n">
        <v>0</v>
      </c>
      <c r="O4261" t="n">
        <v>0</v>
      </c>
      <c r="P4261" t="n">
        <v>0</v>
      </c>
      <c r="Q4261" t="n">
        <v>0</v>
      </c>
      <c r="R4261" s="2" t="inlineStr"/>
    </row>
    <row r="4262" ht="15" customHeight="1">
      <c r="A4262" t="inlineStr">
        <is>
          <t>A 11857-2020</t>
        </is>
      </c>
      <c r="B4262" s="1" t="n">
        <v>43887</v>
      </c>
      <c r="C4262" s="1" t="n">
        <v>45227</v>
      </c>
      <c r="D4262" t="inlineStr">
        <is>
          <t>VÄSTRA GÖTALANDS LÄN</t>
        </is>
      </c>
      <c r="E4262" t="inlineStr">
        <is>
          <t>TANUM</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11846-2020</t>
        </is>
      </c>
      <c r="B4263" s="1" t="n">
        <v>43887</v>
      </c>
      <c r="C4263" s="1" t="n">
        <v>45227</v>
      </c>
      <c r="D4263" t="inlineStr">
        <is>
          <t>VÄSTRA GÖTALANDS LÄN</t>
        </is>
      </c>
      <c r="E4263" t="inlineStr">
        <is>
          <t>TANUM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10609-2020</t>
        </is>
      </c>
      <c r="B4264" s="1" t="n">
        <v>43887</v>
      </c>
      <c r="C4264" s="1" t="n">
        <v>45227</v>
      </c>
      <c r="D4264" t="inlineStr">
        <is>
          <t>VÄSTRA GÖTALANDS LÄN</t>
        </is>
      </c>
      <c r="E4264" t="inlineStr">
        <is>
          <t>LILLA EDET</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11484-2020</t>
        </is>
      </c>
      <c r="B4265" s="1" t="n">
        <v>43887</v>
      </c>
      <c r="C4265" s="1" t="n">
        <v>45227</v>
      </c>
      <c r="D4265" t="inlineStr">
        <is>
          <t>VÄSTRA GÖTALANDS LÄN</t>
        </is>
      </c>
      <c r="E4265" t="inlineStr">
        <is>
          <t>TÖREBODA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11840-2020</t>
        </is>
      </c>
      <c r="B4266" s="1" t="n">
        <v>43887</v>
      </c>
      <c r="C4266" s="1" t="n">
        <v>45227</v>
      </c>
      <c r="D4266" t="inlineStr">
        <is>
          <t>VÄSTRA GÖTALANDS LÄN</t>
        </is>
      </c>
      <c r="E4266" t="inlineStr">
        <is>
          <t>TANUM</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10270-2020</t>
        </is>
      </c>
      <c r="B4267" s="1" t="n">
        <v>43887</v>
      </c>
      <c r="C4267" s="1" t="n">
        <v>45227</v>
      </c>
      <c r="D4267" t="inlineStr">
        <is>
          <t>VÄSTRA GÖTALANDS LÄN</t>
        </is>
      </c>
      <c r="E4267" t="inlineStr">
        <is>
          <t>HÄRRYDA</t>
        </is>
      </c>
      <c r="G4267" t="n">
        <v>5.3</v>
      </c>
      <c r="H4267" t="n">
        <v>0</v>
      </c>
      <c r="I4267" t="n">
        <v>0</v>
      </c>
      <c r="J4267" t="n">
        <v>0</v>
      </c>
      <c r="K4267" t="n">
        <v>0</v>
      </c>
      <c r="L4267" t="n">
        <v>0</v>
      </c>
      <c r="M4267" t="n">
        <v>0</v>
      </c>
      <c r="N4267" t="n">
        <v>0</v>
      </c>
      <c r="O4267" t="n">
        <v>0</v>
      </c>
      <c r="P4267" t="n">
        <v>0</v>
      </c>
      <c r="Q4267" t="n">
        <v>0</v>
      </c>
      <c r="R4267" s="2" t="inlineStr"/>
    </row>
    <row r="4268" ht="15" customHeight="1">
      <c r="A4268" t="inlineStr">
        <is>
          <t>A 11853-2020</t>
        </is>
      </c>
      <c r="B4268" s="1" t="n">
        <v>43887</v>
      </c>
      <c r="C4268" s="1" t="n">
        <v>45227</v>
      </c>
      <c r="D4268" t="inlineStr">
        <is>
          <t>VÄSTRA GÖTALANDS LÄN</t>
        </is>
      </c>
      <c r="E4268" t="inlineStr">
        <is>
          <t>TANUM</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11605-2020</t>
        </is>
      </c>
      <c r="B4269" s="1" t="n">
        <v>43888</v>
      </c>
      <c r="C4269" s="1" t="n">
        <v>45227</v>
      </c>
      <c r="D4269" t="inlineStr">
        <is>
          <t>VÄSTRA GÖTALANDS LÄN</t>
        </is>
      </c>
      <c r="E4269" t="inlineStr">
        <is>
          <t>TIDAHOLM</t>
        </is>
      </c>
      <c r="F4269" t="inlineStr">
        <is>
          <t>Kommuner</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11091-2020</t>
        </is>
      </c>
      <c r="B4270" s="1" t="n">
        <v>43889</v>
      </c>
      <c r="C4270" s="1" t="n">
        <v>45227</v>
      </c>
      <c r="D4270" t="inlineStr">
        <is>
          <t>VÄSTRA GÖTALANDS LÄN</t>
        </is>
      </c>
      <c r="E4270" t="inlineStr">
        <is>
          <t>DALS-ED</t>
        </is>
      </c>
      <c r="G4270" t="n">
        <v>8.800000000000001</v>
      </c>
      <c r="H4270" t="n">
        <v>0</v>
      </c>
      <c r="I4270" t="n">
        <v>0</v>
      </c>
      <c r="J4270" t="n">
        <v>0</v>
      </c>
      <c r="K4270" t="n">
        <v>0</v>
      </c>
      <c r="L4270" t="n">
        <v>0</v>
      </c>
      <c r="M4270" t="n">
        <v>0</v>
      </c>
      <c r="N4270" t="n">
        <v>0</v>
      </c>
      <c r="O4270" t="n">
        <v>0</v>
      </c>
      <c r="P4270" t="n">
        <v>0</v>
      </c>
      <c r="Q4270" t="n">
        <v>0</v>
      </c>
      <c r="R4270" s="2" t="inlineStr"/>
    </row>
    <row r="4271" ht="15" customHeight="1">
      <c r="A4271" t="inlineStr">
        <is>
          <t>A 10903-2020</t>
        </is>
      </c>
      <c r="B4271" s="1" t="n">
        <v>43889</v>
      </c>
      <c r="C4271" s="1" t="n">
        <v>45227</v>
      </c>
      <c r="D4271" t="inlineStr">
        <is>
          <t>VÄSTRA GÖTALANDS LÄN</t>
        </is>
      </c>
      <c r="E4271" t="inlineStr">
        <is>
          <t>FALKÖPING</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11080-2020</t>
        </is>
      </c>
      <c r="B4272" s="1" t="n">
        <v>43889</v>
      </c>
      <c r="C4272" s="1" t="n">
        <v>45227</v>
      </c>
      <c r="D4272" t="inlineStr">
        <is>
          <t>VÄSTRA GÖTALANDS LÄN</t>
        </is>
      </c>
      <c r="E4272" t="inlineStr">
        <is>
          <t>DALS-ED</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11109-2020</t>
        </is>
      </c>
      <c r="B4273" s="1" t="n">
        <v>43889</v>
      </c>
      <c r="C4273" s="1" t="n">
        <v>45227</v>
      </c>
      <c r="D4273" t="inlineStr">
        <is>
          <t>VÄSTRA GÖTALANDS LÄN</t>
        </is>
      </c>
      <c r="E4273" t="inlineStr">
        <is>
          <t>TANUM</t>
        </is>
      </c>
      <c r="G4273" t="n">
        <v>12.5</v>
      </c>
      <c r="H4273" t="n">
        <v>0</v>
      </c>
      <c r="I4273" t="n">
        <v>0</v>
      </c>
      <c r="J4273" t="n">
        <v>0</v>
      </c>
      <c r="K4273" t="n">
        <v>0</v>
      </c>
      <c r="L4273" t="n">
        <v>0</v>
      </c>
      <c r="M4273" t="n">
        <v>0</v>
      </c>
      <c r="N4273" t="n">
        <v>0</v>
      </c>
      <c r="O4273" t="n">
        <v>0</v>
      </c>
      <c r="P4273" t="n">
        <v>0</v>
      </c>
      <c r="Q4273" t="n">
        <v>0</v>
      </c>
      <c r="R4273" s="2" t="inlineStr"/>
    </row>
    <row r="4274" ht="15" customHeight="1">
      <c r="A4274" t="inlineStr">
        <is>
          <t>A 10915-2020</t>
        </is>
      </c>
      <c r="B4274" s="1" t="n">
        <v>43889</v>
      </c>
      <c r="C4274" s="1" t="n">
        <v>45227</v>
      </c>
      <c r="D4274" t="inlineStr">
        <is>
          <t>VÄSTRA GÖTALANDS LÄN</t>
        </is>
      </c>
      <c r="E4274" t="inlineStr">
        <is>
          <t>MELLERUD</t>
        </is>
      </c>
      <c r="G4274" t="n">
        <v>2.1</v>
      </c>
      <c r="H4274" t="n">
        <v>0</v>
      </c>
      <c r="I4274" t="n">
        <v>0</v>
      </c>
      <c r="J4274" t="n">
        <v>0</v>
      </c>
      <c r="K4274" t="n">
        <v>0</v>
      </c>
      <c r="L4274" t="n">
        <v>0</v>
      </c>
      <c r="M4274" t="n">
        <v>0</v>
      </c>
      <c r="N4274" t="n">
        <v>0</v>
      </c>
      <c r="O4274" t="n">
        <v>0</v>
      </c>
      <c r="P4274" t="n">
        <v>0</v>
      </c>
      <c r="Q4274" t="n">
        <v>0</v>
      </c>
      <c r="R4274" s="2" t="inlineStr"/>
    </row>
    <row r="4275" ht="15" customHeight="1">
      <c r="A4275" t="inlineStr">
        <is>
          <t>A 11139-2020</t>
        </is>
      </c>
      <c r="B4275" s="1" t="n">
        <v>43890</v>
      </c>
      <c r="C4275" s="1" t="n">
        <v>45227</v>
      </c>
      <c r="D4275" t="inlineStr">
        <is>
          <t>VÄSTRA GÖTALANDS LÄN</t>
        </is>
      </c>
      <c r="E4275" t="inlineStr">
        <is>
          <t>FALKÖPING</t>
        </is>
      </c>
      <c r="G4275" t="n">
        <v>2.6</v>
      </c>
      <c r="H4275" t="n">
        <v>0</v>
      </c>
      <c r="I4275" t="n">
        <v>0</v>
      </c>
      <c r="J4275" t="n">
        <v>0</v>
      </c>
      <c r="K4275" t="n">
        <v>0</v>
      </c>
      <c r="L4275" t="n">
        <v>0</v>
      </c>
      <c r="M4275" t="n">
        <v>0</v>
      </c>
      <c r="N4275" t="n">
        <v>0</v>
      </c>
      <c r="O4275" t="n">
        <v>0</v>
      </c>
      <c r="P4275" t="n">
        <v>0</v>
      </c>
      <c r="Q4275" t="n">
        <v>0</v>
      </c>
      <c r="R4275" s="2" t="inlineStr"/>
    </row>
    <row r="4276" ht="15" customHeight="1">
      <c r="A4276" t="inlineStr">
        <is>
          <t>A 11156-2020</t>
        </is>
      </c>
      <c r="B4276" s="1" t="n">
        <v>43891</v>
      </c>
      <c r="C4276" s="1" t="n">
        <v>45227</v>
      </c>
      <c r="D4276" t="inlineStr">
        <is>
          <t>VÄSTRA GÖTALANDS LÄN</t>
        </is>
      </c>
      <c r="E4276" t="inlineStr">
        <is>
          <t>TANUM</t>
        </is>
      </c>
      <c r="G4276" t="n">
        <v>2.5</v>
      </c>
      <c r="H4276" t="n">
        <v>0</v>
      </c>
      <c r="I4276" t="n">
        <v>0</v>
      </c>
      <c r="J4276" t="n">
        <v>0</v>
      </c>
      <c r="K4276" t="n">
        <v>0</v>
      </c>
      <c r="L4276" t="n">
        <v>0</v>
      </c>
      <c r="M4276" t="n">
        <v>0</v>
      </c>
      <c r="N4276" t="n">
        <v>0</v>
      </c>
      <c r="O4276" t="n">
        <v>0</v>
      </c>
      <c r="P4276" t="n">
        <v>0</v>
      </c>
      <c r="Q4276" t="n">
        <v>0</v>
      </c>
      <c r="R4276" s="2" t="inlineStr"/>
    </row>
    <row r="4277" ht="15" customHeight="1">
      <c r="A4277" t="inlineStr">
        <is>
          <t>A 11208-2020</t>
        </is>
      </c>
      <c r="B4277" s="1" t="n">
        <v>43892</v>
      </c>
      <c r="C4277" s="1" t="n">
        <v>45227</v>
      </c>
      <c r="D4277" t="inlineStr">
        <is>
          <t>VÄSTRA GÖTALANDS LÄN</t>
        </is>
      </c>
      <c r="E4277" t="inlineStr">
        <is>
          <t>BENGTSFORS</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11388-2020</t>
        </is>
      </c>
      <c r="B4278" s="1" t="n">
        <v>43892</v>
      </c>
      <c r="C4278" s="1" t="n">
        <v>45227</v>
      </c>
      <c r="D4278" t="inlineStr">
        <is>
          <t>VÄSTRA GÖTALANDS LÄN</t>
        </is>
      </c>
      <c r="E4278" t="inlineStr">
        <is>
          <t>ULRICEHAMN</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11227-2020</t>
        </is>
      </c>
      <c r="B4279" s="1" t="n">
        <v>43892</v>
      </c>
      <c r="C4279" s="1" t="n">
        <v>45227</v>
      </c>
      <c r="D4279" t="inlineStr">
        <is>
          <t>VÄSTRA GÖTALANDS LÄN</t>
        </is>
      </c>
      <c r="E4279" t="inlineStr">
        <is>
          <t>BENGTSFORS</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11306-2020</t>
        </is>
      </c>
      <c r="B4280" s="1" t="n">
        <v>43892</v>
      </c>
      <c r="C4280" s="1" t="n">
        <v>45227</v>
      </c>
      <c r="D4280" t="inlineStr">
        <is>
          <t>VÄSTRA GÖTALANDS LÄN</t>
        </is>
      </c>
      <c r="E4280" t="inlineStr">
        <is>
          <t>ALINGSÅS</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11319-2020</t>
        </is>
      </c>
      <c r="B4281" s="1" t="n">
        <v>43892</v>
      </c>
      <c r="C4281" s="1" t="n">
        <v>45227</v>
      </c>
      <c r="D4281" t="inlineStr">
        <is>
          <t>VÄSTRA GÖTALANDS LÄN</t>
        </is>
      </c>
      <c r="E4281" t="inlineStr">
        <is>
          <t>UDDEVALLA</t>
        </is>
      </c>
      <c r="G4281" t="n">
        <v>7.1</v>
      </c>
      <c r="H4281" t="n">
        <v>0</v>
      </c>
      <c r="I4281" t="n">
        <v>0</v>
      </c>
      <c r="J4281" t="n">
        <v>0</v>
      </c>
      <c r="K4281" t="n">
        <v>0</v>
      </c>
      <c r="L4281" t="n">
        <v>0</v>
      </c>
      <c r="M4281" t="n">
        <v>0</v>
      </c>
      <c r="N4281" t="n">
        <v>0</v>
      </c>
      <c r="O4281" t="n">
        <v>0</v>
      </c>
      <c r="P4281" t="n">
        <v>0</v>
      </c>
      <c r="Q4281" t="n">
        <v>0</v>
      </c>
      <c r="R4281" s="2" t="inlineStr"/>
    </row>
    <row r="4282" ht="15" customHeight="1">
      <c r="A4282" t="inlineStr">
        <is>
          <t>A 11230-2020</t>
        </is>
      </c>
      <c r="B4282" s="1" t="n">
        <v>43892</v>
      </c>
      <c r="C4282" s="1" t="n">
        <v>45227</v>
      </c>
      <c r="D4282" t="inlineStr">
        <is>
          <t>VÄSTRA GÖTALANDS LÄN</t>
        </is>
      </c>
      <c r="E4282" t="inlineStr">
        <is>
          <t>BENGTSFORS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11265-2020</t>
        </is>
      </c>
      <c r="B4283" s="1" t="n">
        <v>43892</v>
      </c>
      <c r="C4283" s="1" t="n">
        <v>45227</v>
      </c>
      <c r="D4283" t="inlineStr">
        <is>
          <t>VÄSTRA GÖTALANDS LÄN</t>
        </is>
      </c>
      <c r="E4283" t="inlineStr">
        <is>
          <t>SVENLJUNGA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11302-2020</t>
        </is>
      </c>
      <c r="B4284" s="1" t="n">
        <v>43892</v>
      </c>
      <c r="C4284" s="1" t="n">
        <v>45227</v>
      </c>
      <c r="D4284" t="inlineStr">
        <is>
          <t>VÄSTRA GÖTALANDS LÄN</t>
        </is>
      </c>
      <c r="E4284" t="inlineStr">
        <is>
          <t>VÅRGÅRDA</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11309-2020</t>
        </is>
      </c>
      <c r="B4285" s="1" t="n">
        <v>43892</v>
      </c>
      <c r="C4285" s="1" t="n">
        <v>45227</v>
      </c>
      <c r="D4285" t="inlineStr">
        <is>
          <t>VÄSTRA GÖTALANDS LÄN</t>
        </is>
      </c>
      <c r="E4285" t="inlineStr">
        <is>
          <t>ALINGSÅS</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11315-2020</t>
        </is>
      </c>
      <c r="B4286" s="1" t="n">
        <v>43892</v>
      </c>
      <c r="C4286" s="1" t="n">
        <v>45227</v>
      </c>
      <c r="D4286" t="inlineStr">
        <is>
          <t>VÄSTRA GÖTALANDS LÄN</t>
        </is>
      </c>
      <c r="E4286" t="inlineStr">
        <is>
          <t>LILLA EDET</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11351-2020</t>
        </is>
      </c>
      <c r="B4287" s="1" t="n">
        <v>43892</v>
      </c>
      <c r="C4287" s="1" t="n">
        <v>45227</v>
      </c>
      <c r="D4287" t="inlineStr">
        <is>
          <t>VÄSTRA GÖTALANDS LÄN</t>
        </is>
      </c>
      <c r="E4287" t="inlineStr">
        <is>
          <t>LIDKÖPING</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11554-2020</t>
        </is>
      </c>
      <c r="B4288" s="1" t="n">
        <v>43893</v>
      </c>
      <c r="C4288" s="1" t="n">
        <v>45227</v>
      </c>
      <c r="D4288" t="inlineStr">
        <is>
          <t>VÄSTRA GÖTALANDS LÄN</t>
        </is>
      </c>
      <c r="E4288" t="inlineStr">
        <is>
          <t>HJO</t>
        </is>
      </c>
      <c r="G4288" t="n">
        <v>1.3</v>
      </c>
      <c r="H4288" t="n">
        <v>0</v>
      </c>
      <c r="I4288" t="n">
        <v>0</v>
      </c>
      <c r="J4288" t="n">
        <v>0</v>
      </c>
      <c r="K4288" t="n">
        <v>0</v>
      </c>
      <c r="L4288" t="n">
        <v>0</v>
      </c>
      <c r="M4288" t="n">
        <v>0</v>
      </c>
      <c r="N4288" t="n">
        <v>0</v>
      </c>
      <c r="O4288" t="n">
        <v>0</v>
      </c>
      <c r="P4288" t="n">
        <v>0</v>
      </c>
      <c r="Q4288" t="n">
        <v>0</v>
      </c>
      <c r="R4288" s="2" t="inlineStr"/>
    </row>
    <row r="4289" ht="15" customHeight="1">
      <c r="A4289" t="inlineStr">
        <is>
          <t>A 11586-2020</t>
        </is>
      </c>
      <c r="B4289" s="1" t="n">
        <v>43893</v>
      </c>
      <c r="C4289" s="1" t="n">
        <v>45227</v>
      </c>
      <c r="D4289" t="inlineStr">
        <is>
          <t>VÄSTRA GÖTALANDS LÄN</t>
        </is>
      </c>
      <c r="E4289" t="inlineStr">
        <is>
          <t>MARK</t>
        </is>
      </c>
      <c r="G4289" t="n">
        <v>5.1</v>
      </c>
      <c r="H4289" t="n">
        <v>0</v>
      </c>
      <c r="I4289" t="n">
        <v>0</v>
      </c>
      <c r="J4289" t="n">
        <v>0</v>
      </c>
      <c r="K4289" t="n">
        <v>0</v>
      </c>
      <c r="L4289" t="n">
        <v>0</v>
      </c>
      <c r="M4289" t="n">
        <v>0</v>
      </c>
      <c r="N4289" t="n">
        <v>0</v>
      </c>
      <c r="O4289" t="n">
        <v>0</v>
      </c>
      <c r="P4289" t="n">
        <v>0</v>
      </c>
      <c r="Q4289" t="n">
        <v>0</v>
      </c>
      <c r="R4289" s="2" t="inlineStr"/>
    </row>
    <row r="4290" ht="15" customHeight="1">
      <c r="A4290" t="inlineStr">
        <is>
          <t>A 11643-2020</t>
        </is>
      </c>
      <c r="B4290" s="1" t="n">
        <v>43893</v>
      </c>
      <c r="C4290" s="1" t="n">
        <v>45227</v>
      </c>
      <c r="D4290" t="inlineStr">
        <is>
          <t>VÄSTRA GÖTALANDS LÄN</t>
        </is>
      </c>
      <c r="E4290" t="inlineStr">
        <is>
          <t>VARA</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11443-2020</t>
        </is>
      </c>
      <c r="B4291" s="1" t="n">
        <v>43893</v>
      </c>
      <c r="C4291" s="1" t="n">
        <v>45227</v>
      </c>
      <c r="D4291" t="inlineStr">
        <is>
          <t>VÄSTRA GÖTALANDS LÄN</t>
        </is>
      </c>
      <c r="E4291" t="inlineStr">
        <is>
          <t>MARK</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11479-2020</t>
        </is>
      </c>
      <c r="B4292" s="1" t="n">
        <v>43893</v>
      </c>
      <c r="C4292" s="1" t="n">
        <v>45227</v>
      </c>
      <c r="D4292" t="inlineStr">
        <is>
          <t>VÄSTRA GÖTALANDS LÄN</t>
        </is>
      </c>
      <c r="E4292" t="inlineStr">
        <is>
          <t>MARK</t>
        </is>
      </c>
      <c r="G4292" t="n">
        <v>4.9</v>
      </c>
      <c r="H4292" t="n">
        <v>0</v>
      </c>
      <c r="I4292" t="n">
        <v>0</v>
      </c>
      <c r="J4292" t="n">
        <v>0</v>
      </c>
      <c r="K4292" t="n">
        <v>0</v>
      </c>
      <c r="L4292" t="n">
        <v>0</v>
      </c>
      <c r="M4292" t="n">
        <v>0</v>
      </c>
      <c r="N4292" t="n">
        <v>0</v>
      </c>
      <c r="O4292" t="n">
        <v>0</v>
      </c>
      <c r="P4292" t="n">
        <v>0</v>
      </c>
      <c r="Q4292" t="n">
        <v>0</v>
      </c>
      <c r="R4292" s="2" t="inlineStr"/>
    </row>
    <row r="4293" ht="15" customHeight="1">
      <c r="A4293" t="inlineStr">
        <is>
          <t>A 11556-2020</t>
        </is>
      </c>
      <c r="B4293" s="1" t="n">
        <v>43893</v>
      </c>
      <c r="C4293" s="1" t="n">
        <v>45227</v>
      </c>
      <c r="D4293" t="inlineStr">
        <is>
          <t>VÄSTRA GÖTALANDS LÄN</t>
        </is>
      </c>
      <c r="E4293" t="inlineStr">
        <is>
          <t>HJO</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11632-2020</t>
        </is>
      </c>
      <c r="B4294" s="1" t="n">
        <v>43893</v>
      </c>
      <c r="C4294" s="1" t="n">
        <v>45227</v>
      </c>
      <c r="D4294" t="inlineStr">
        <is>
          <t>VÄSTRA GÖTALANDS LÄN</t>
        </is>
      </c>
      <c r="E4294" t="inlineStr">
        <is>
          <t>TRANEMO</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12810-2020</t>
        </is>
      </c>
      <c r="B4295" s="1" t="n">
        <v>43893</v>
      </c>
      <c r="C4295" s="1" t="n">
        <v>45227</v>
      </c>
      <c r="D4295" t="inlineStr">
        <is>
          <t>VÄSTRA GÖTALANDS LÄN</t>
        </is>
      </c>
      <c r="E4295" t="inlineStr">
        <is>
          <t>TANUM</t>
        </is>
      </c>
      <c r="G4295" t="n">
        <v>4.8</v>
      </c>
      <c r="H4295" t="n">
        <v>0</v>
      </c>
      <c r="I4295" t="n">
        <v>0</v>
      </c>
      <c r="J4295" t="n">
        <v>0</v>
      </c>
      <c r="K4295" t="n">
        <v>0</v>
      </c>
      <c r="L4295" t="n">
        <v>0</v>
      </c>
      <c r="M4295" t="n">
        <v>0</v>
      </c>
      <c r="N4295" t="n">
        <v>0</v>
      </c>
      <c r="O4295" t="n">
        <v>0</v>
      </c>
      <c r="P4295" t="n">
        <v>0</v>
      </c>
      <c r="Q4295" t="n">
        <v>0</v>
      </c>
      <c r="R4295" s="2" t="inlineStr"/>
    </row>
    <row r="4296" ht="15" customHeight="1">
      <c r="A4296" t="inlineStr">
        <is>
          <t>A 11493-2020</t>
        </is>
      </c>
      <c r="B4296" s="1" t="n">
        <v>43893</v>
      </c>
      <c r="C4296" s="1" t="n">
        <v>45227</v>
      </c>
      <c r="D4296" t="inlineStr">
        <is>
          <t>VÄSTRA GÖTALANDS LÄN</t>
        </is>
      </c>
      <c r="E4296" t="inlineStr">
        <is>
          <t>TÖREBODA</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11579-2020</t>
        </is>
      </c>
      <c r="B4297" s="1" t="n">
        <v>43893</v>
      </c>
      <c r="C4297" s="1" t="n">
        <v>45227</v>
      </c>
      <c r="D4297" t="inlineStr">
        <is>
          <t>VÄSTRA GÖTALANDS LÄN</t>
        </is>
      </c>
      <c r="E4297" t="inlineStr">
        <is>
          <t>ULRICEHAMN</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11724-2020</t>
        </is>
      </c>
      <c r="B4298" s="1" t="n">
        <v>43894</v>
      </c>
      <c r="C4298" s="1" t="n">
        <v>45227</v>
      </c>
      <c r="D4298" t="inlineStr">
        <is>
          <t>VÄSTRA GÖTALANDS LÄN</t>
        </is>
      </c>
      <c r="E4298" t="inlineStr">
        <is>
          <t>FÄRGELANDA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11831-2020</t>
        </is>
      </c>
      <c r="B4299" s="1" t="n">
        <v>43894</v>
      </c>
      <c r="C4299" s="1" t="n">
        <v>45227</v>
      </c>
      <c r="D4299" t="inlineStr">
        <is>
          <t>VÄSTRA GÖTALANDS LÄN</t>
        </is>
      </c>
      <c r="E4299" t="inlineStr">
        <is>
          <t>ULRICEHAMN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11864-2020</t>
        </is>
      </c>
      <c r="B4300" s="1" t="n">
        <v>43894</v>
      </c>
      <c r="C4300" s="1" t="n">
        <v>45227</v>
      </c>
      <c r="D4300" t="inlineStr">
        <is>
          <t>VÄSTRA GÖTALANDS LÄN</t>
        </is>
      </c>
      <c r="E4300" t="inlineStr">
        <is>
          <t>LYSEKIL</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12013-2020</t>
        </is>
      </c>
      <c r="B4301" s="1" t="n">
        <v>43894</v>
      </c>
      <c r="C4301" s="1" t="n">
        <v>45227</v>
      </c>
      <c r="D4301" t="inlineStr">
        <is>
          <t>VÄSTRA GÖTALANDS LÄN</t>
        </is>
      </c>
      <c r="E4301" t="inlineStr">
        <is>
          <t>ÅMÅL</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12052-2020</t>
        </is>
      </c>
      <c r="B4302" s="1" t="n">
        <v>43894</v>
      </c>
      <c r="C4302" s="1" t="n">
        <v>45227</v>
      </c>
      <c r="D4302" t="inlineStr">
        <is>
          <t>VÄSTRA GÖTALANDS LÄN</t>
        </is>
      </c>
      <c r="E4302" t="inlineStr">
        <is>
          <t>TÖREBODA</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13421-2020</t>
        </is>
      </c>
      <c r="B4303" s="1" t="n">
        <v>43894</v>
      </c>
      <c r="C4303" s="1" t="n">
        <v>45227</v>
      </c>
      <c r="D4303" t="inlineStr">
        <is>
          <t>VÄSTRA GÖTALANDS LÄN</t>
        </is>
      </c>
      <c r="E4303" t="inlineStr">
        <is>
          <t>DALS-ED</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13490-2020</t>
        </is>
      </c>
      <c r="B4304" s="1" t="n">
        <v>43894</v>
      </c>
      <c r="C4304" s="1" t="n">
        <v>45227</v>
      </c>
      <c r="D4304" t="inlineStr">
        <is>
          <t>VÄSTRA GÖTALANDS LÄN</t>
        </is>
      </c>
      <c r="E4304" t="inlineStr">
        <is>
          <t>GRÄSTORP</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11852-2020</t>
        </is>
      </c>
      <c r="B4305" s="1" t="n">
        <v>43894</v>
      </c>
      <c r="C4305" s="1" t="n">
        <v>45227</v>
      </c>
      <c r="D4305" t="inlineStr">
        <is>
          <t>VÄSTRA GÖTALANDS LÄN</t>
        </is>
      </c>
      <c r="E4305" t="inlineStr">
        <is>
          <t>TIDAHOLM</t>
        </is>
      </c>
      <c r="F4305" t="inlineStr">
        <is>
          <t>Sveaskog</t>
        </is>
      </c>
      <c r="G4305" t="n">
        <v>0.5</v>
      </c>
      <c r="H4305" t="n">
        <v>0</v>
      </c>
      <c r="I4305" t="n">
        <v>0</v>
      </c>
      <c r="J4305" t="n">
        <v>0</v>
      </c>
      <c r="K4305" t="n">
        <v>0</v>
      </c>
      <c r="L4305" t="n">
        <v>0</v>
      </c>
      <c r="M4305" t="n">
        <v>0</v>
      </c>
      <c r="N4305" t="n">
        <v>0</v>
      </c>
      <c r="O4305" t="n">
        <v>0</v>
      </c>
      <c r="P4305" t="n">
        <v>0</v>
      </c>
      <c r="Q4305" t="n">
        <v>0</v>
      </c>
      <c r="R4305" s="2" t="inlineStr"/>
    </row>
    <row r="4306" ht="15" customHeight="1">
      <c r="A4306" t="inlineStr">
        <is>
          <t>A 11869-2020</t>
        </is>
      </c>
      <c r="B4306" s="1" t="n">
        <v>43894</v>
      </c>
      <c r="C4306" s="1" t="n">
        <v>45227</v>
      </c>
      <c r="D4306" t="inlineStr">
        <is>
          <t>VÄSTRA GÖTALANDS LÄN</t>
        </is>
      </c>
      <c r="E4306" t="inlineStr">
        <is>
          <t>FALKÖPING</t>
        </is>
      </c>
      <c r="G4306" t="n">
        <v>6.5</v>
      </c>
      <c r="H4306" t="n">
        <v>0</v>
      </c>
      <c r="I4306" t="n">
        <v>0</v>
      </c>
      <c r="J4306" t="n">
        <v>0</v>
      </c>
      <c r="K4306" t="n">
        <v>0</v>
      </c>
      <c r="L4306" t="n">
        <v>0</v>
      </c>
      <c r="M4306" t="n">
        <v>0</v>
      </c>
      <c r="N4306" t="n">
        <v>0</v>
      </c>
      <c r="O4306" t="n">
        <v>0</v>
      </c>
      <c r="P4306" t="n">
        <v>0</v>
      </c>
      <c r="Q4306" t="n">
        <v>0</v>
      </c>
      <c r="R4306" s="2" t="inlineStr"/>
    </row>
    <row r="4307" ht="15" customHeight="1">
      <c r="A4307" t="inlineStr">
        <is>
          <t>A 11981-2020</t>
        </is>
      </c>
      <c r="B4307" s="1" t="n">
        <v>43894</v>
      </c>
      <c r="C4307" s="1" t="n">
        <v>45227</v>
      </c>
      <c r="D4307" t="inlineStr">
        <is>
          <t>VÄSTRA GÖTALANDS LÄN</t>
        </is>
      </c>
      <c r="E4307" t="inlineStr">
        <is>
          <t>TRANEMO</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11732-2020</t>
        </is>
      </c>
      <c r="B4308" s="1" t="n">
        <v>43894</v>
      </c>
      <c r="C4308" s="1" t="n">
        <v>45227</v>
      </c>
      <c r="D4308" t="inlineStr">
        <is>
          <t>VÄSTRA GÖTALANDS LÄN</t>
        </is>
      </c>
      <c r="E4308" t="inlineStr">
        <is>
          <t>SVENLJUNGA</t>
        </is>
      </c>
      <c r="G4308" t="n">
        <v>7</v>
      </c>
      <c r="H4308" t="n">
        <v>0</v>
      </c>
      <c r="I4308" t="n">
        <v>0</v>
      </c>
      <c r="J4308" t="n">
        <v>0</v>
      </c>
      <c r="K4308" t="n">
        <v>0</v>
      </c>
      <c r="L4308" t="n">
        <v>0</v>
      </c>
      <c r="M4308" t="n">
        <v>0</v>
      </c>
      <c r="N4308" t="n">
        <v>0</v>
      </c>
      <c r="O4308" t="n">
        <v>0</v>
      </c>
      <c r="P4308" t="n">
        <v>0</v>
      </c>
      <c r="Q4308" t="n">
        <v>0</v>
      </c>
      <c r="R4308" s="2" t="inlineStr"/>
    </row>
    <row r="4309" ht="15" customHeight="1">
      <c r="A4309" t="inlineStr">
        <is>
          <t>A 11877-2020</t>
        </is>
      </c>
      <c r="B4309" s="1" t="n">
        <v>43894</v>
      </c>
      <c r="C4309" s="1" t="n">
        <v>45227</v>
      </c>
      <c r="D4309" t="inlineStr">
        <is>
          <t>VÄSTRA GÖTALANDS LÄN</t>
        </is>
      </c>
      <c r="E4309" t="inlineStr">
        <is>
          <t>GÖTENE</t>
        </is>
      </c>
      <c r="F4309" t="inlineStr">
        <is>
          <t>Kyrkan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12010-2020</t>
        </is>
      </c>
      <c r="B4310" s="1" t="n">
        <v>43894</v>
      </c>
      <c r="C4310" s="1" t="n">
        <v>45227</v>
      </c>
      <c r="D4310" t="inlineStr">
        <is>
          <t>VÄSTRA GÖTALANDS LÄN</t>
        </is>
      </c>
      <c r="E4310" t="inlineStr">
        <is>
          <t>BENGTSFORS</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12787-2020</t>
        </is>
      </c>
      <c r="B4311" s="1" t="n">
        <v>43894</v>
      </c>
      <c r="C4311" s="1" t="n">
        <v>45227</v>
      </c>
      <c r="D4311" t="inlineStr">
        <is>
          <t>VÄSTRA GÖTALANDS LÄN</t>
        </is>
      </c>
      <c r="E4311" t="inlineStr">
        <is>
          <t>UDDEVALLA</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12073-2020</t>
        </is>
      </c>
      <c r="B4312" s="1" t="n">
        <v>43895</v>
      </c>
      <c r="C4312" s="1" t="n">
        <v>45227</v>
      </c>
      <c r="D4312" t="inlineStr">
        <is>
          <t>VÄSTRA GÖTALANDS LÄN</t>
        </is>
      </c>
      <c r="E4312" t="inlineStr">
        <is>
          <t>SKARA</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12183-2020</t>
        </is>
      </c>
      <c r="B4313" s="1" t="n">
        <v>43895</v>
      </c>
      <c r="C4313" s="1" t="n">
        <v>45227</v>
      </c>
      <c r="D4313" t="inlineStr">
        <is>
          <t>VÄSTRA GÖTALANDS LÄN</t>
        </is>
      </c>
      <c r="E4313" t="inlineStr">
        <is>
          <t>ALINGSÅS</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12263-2020</t>
        </is>
      </c>
      <c r="B4314" s="1" t="n">
        <v>43895</v>
      </c>
      <c r="C4314" s="1" t="n">
        <v>45227</v>
      </c>
      <c r="D4314" t="inlineStr">
        <is>
          <t>VÄSTRA GÖTALANDS LÄN</t>
        </is>
      </c>
      <c r="E4314" t="inlineStr">
        <is>
          <t>MUNKEDAL</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13751-2020</t>
        </is>
      </c>
      <c r="B4315" s="1" t="n">
        <v>43896</v>
      </c>
      <c r="C4315" s="1" t="n">
        <v>45227</v>
      </c>
      <c r="D4315" t="inlineStr">
        <is>
          <t>VÄSTRA GÖTALANDS LÄN</t>
        </is>
      </c>
      <c r="E4315" t="inlineStr">
        <is>
          <t>MUNKEDAL</t>
        </is>
      </c>
      <c r="G4315" t="n">
        <v>3.8</v>
      </c>
      <c r="H4315" t="n">
        <v>0</v>
      </c>
      <c r="I4315" t="n">
        <v>0</v>
      </c>
      <c r="J4315" t="n">
        <v>0</v>
      </c>
      <c r="K4315" t="n">
        <v>0</v>
      </c>
      <c r="L4315" t="n">
        <v>0</v>
      </c>
      <c r="M4315" t="n">
        <v>0</v>
      </c>
      <c r="N4315" t="n">
        <v>0</v>
      </c>
      <c r="O4315" t="n">
        <v>0</v>
      </c>
      <c r="P4315" t="n">
        <v>0</v>
      </c>
      <c r="Q4315" t="n">
        <v>0</v>
      </c>
      <c r="R4315" s="2" t="inlineStr"/>
    </row>
    <row r="4316" ht="15" customHeight="1">
      <c r="A4316" t="inlineStr">
        <is>
          <t>A 13736-2020</t>
        </is>
      </c>
      <c r="B4316" s="1" t="n">
        <v>43896</v>
      </c>
      <c r="C4316" s="1" t="n">
        <v>45227</v>
      </c>
      <c r="D4316" t="inlineStr">
        <is>
          <t>VÄSTRA GÖTALANDS LÄN</t>
        </is>
      </c>
      <c r="E4316" t="inlineStr">
        <is>
          <t>MUNKEDAL</t>
        </is>
      </c>
      <c r="G4316" t="n">
        <v>18</v>
      </c>
      <c r="H4316" t="n">
        <v>0</v>
      </c>
      <c r="I4316" t="n">
        <v>0</v>
      </c>
      <c r="J4316" t="n">
        <v>0</v>
      </c>
      <c r="K4316" t="n">
        <v>0</v>
      </c>
      <c r="L4316" t="n">
        <v>0</v>
      </c>
      <c r="M4316" t="n">
        <v>0</v>
      </c>
      <c r="N4316" t="n">
        <v>0</v>
      </c>
      <c r="O4316" t="n">
        <v>0</v>
      </c>
      <c r="P4316" t="n">
        <v>0</v>
      </c>
      <c r="Q4316" t="n">
        <v>0</v>
      </c>
      <c r="R4316" s="2" t="inlineStr"/>
    </row>
    <row r="4317" ht="15" customHeight="1">
      <c r="A4317" t="inlineStr">
        <is>
          <t>A 13755-2020</t>
        </is>
      </c>
      <c r="B4317" s="1" t="n">
        <v>43896</v>
      </c>
      <c r="C4317" s="1" t="n">
        <v>45227</v>
      </c>
      <c r="D4317" t="inlineStr">
        <is>
          <t>VÄSTRA GÖTALANDS LÄN</t>
        </is>
      </c>
      <c r="E4317" t="inlineStr">
        <is>
          <t>MUNKEDAL</t>
        </is>
      </c>
      <c r="G4317" t="n">
        <v>37.8</v>
      </c>
      <c r="H4317" t="n">
        <v>0</v>
      </c>
      <c r="I4317" t="n">
        <v>0</v>
      </c>
      <c r="J4317" t="n">
        <v>0</v>
      </c>
      <c r="K4317" t="n">
        <v>0</v>
      </c>
      <c r="L4317" t="n">
        <v>0</v>
      </c>
      <c r="M4317" t="n">
        <v>0</v>
      </c>
      <c r="N4317" t="n">
        <v>0</v>
      </c>
      <c r="O4317" t="n">
        <v>0</v>
      </c>
      <c r="P4317" t="n">
        <v>0</v>
      </c>
      <c r="Q4317" t="n">
        <v>0</v>
      </c>
      <c r="R4317" s="2" t="inlineStr"/>
    </row>
    <row r="4318" ht="15" customHeight="1">
      <c r="A4318" t="inlineStr">
        <is>
          <t>A 12477-2020</t>
        </is>
      </c>
      <c r="B4318" s="1" t="n">
        <v>43896</v>
      </c>
      <c r="C4318" s="1" t="n">
        <v>45227</v>
      </c>
      <c r="D4318" t="inlineStr">
        <is>
          <t>VÄSTRA GÖTALANDS LÄN</t>
        </is>
      </c>
      <c r="E4318" t="inlineStr">
        <is>
          <t>MUNKEDAL</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13752-2020</t>
        </is>
      </c>
      <c r="B4319" s="1" t="n">
        <v>43896</v>
      </c>
      <c r="C4319" s="1" t="n">
        <v>45227</v>
      </c>
      <c r="D4319" t="inlineStr">
        <is>
          <t>VÄSTRA GÖTALANDS LÄN</t>
        </is>
      </c>
      <c r="E4319" t="inlineStr">
        <is>
          <t>MUNKEDAL</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12554-2020</t>
        </is>
      </c>
      <c r="B4320" s="1" t="n">
        <v>43898</v>
      </c>
      <c r="C4320" s="1" t="n">
        <v>45227</v>
      </c>
      <c r="D4320" t="inlineStr">
        <is>
          <t>VÄSTRA GÖTALANDS LÄN</t>
        </is>
      </c>
      <c r="E4320" t="inlineStr">
        <is>
          <t>BORÅS</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14166-2020</t>
        </is>
      </c>
      <c r="B4321" s="1" t="n">
        <v>43899</v>
      </c>
      <c r="C4321" s="1" t="n">
        <v>45227</v>
      </c>
      <c r="D4321" t="inlineStr">
        <is>
          <t>VÄSTRA GÖTALANDS LÄN</t>
        </is>
      </c>
      <c r="E4321" t="inlineStr">
        <is>
          <t>BENGTSFORS</t>
        </is>
      </c>
      <c r="F4321" t="inlineStr">
        <is>
          <t>Kyrkan</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12583-2020</t>
        </is>
      </c>
      <c r="B4322" s="1" t="n">
        <v>43899</v>
      </c>
      <c r="C4322" s="1" t="n">
        <v>45227</v>
      </c>
      <c r="D4322" t="inlineStr">
        <is>
          <t>VÄSTRA GÖTALANDS LÄN</t>
        </is>
      </c>
      <c r="E4322" t="inlineStr">
        <is>
          <t>TIDAHOLM</t>
        </is>
      </c>
      <c r="F4322" t="inlineStr">
        <is>
          <t>Sveaskog</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12857-2020</t>
        </is>
      </c>
      <c r="B4323" s="1" t="n">
        <v>43899</v>
      </c>
      <c r="C4323" s="1" t="n">
        <v>45227</v>
      </c>
      <c r="D4323" t="inlineStr">
        <is>
          <t>VÄSTRA GÖTALANDS LÄN</t>
        </is>
      </c>
      <c r="E4323" t="inlineStr">
        <is>
          <t>BENGTSFORS</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12582-2020</t>
        </is>
      </c>
      <c r="B4324" s="1" t="n">
        <v>43899</v>
      </c>
      <c r="C4324" s="1" t="n">
        <v>45227</v>
      </c>
      <c r="D4324" t="inlineStr">
        <is>
          <t>VÄSTRA GÖTALANDS LÄN</t>
        </is>
      </c>
      <c r="E4324" t="inlineStr">
        <is>
          <t>DALS-ED</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12840-2020</t>
        </is>
      </c>
      <c r="B4325" s="1" t="n">
        <v>43899</v>
      </c>
      <c r="C4325" s="1" t="n">
        <v>45227</v>
      </c>
      <c r="D4325" t="inlineStr">
        <is>
          <t>VÄSTRA GÖTALANDS LÄN</t>
        </is>
      </c>
      <c r="E4325" t="inlineStr">
        <is>
          <t>TRANEMO</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12865-2020</t>
        </is>
      </c>
      <c r="B4326" s="1" t="n">
        <v>43899</v>
      </c>
      <c r="C4326" s="1" t="n">
        <v>45227</v>
      </c>
      <c r="D4326" t="inlineStr">
        <is>
          <t>VÄSTRA GÖTALANDS LÄN</t>
        </is>
      </c>
      <c r="E4326" t="inlineStr">
        <is>
          <t>MUNKEDAL</t>
        </is>
      </c>
      <c r="G4326" t="n">
        <v>7.1</v>
      </c>
      <c r="H4326" t="n">
        <v>0</v>
      </c>
      <c r="I4326" t="n">
        <v>0</v>
      </c>
      <c r="J4326" t="n">
        <v>0</v>
      </c>
      <c r="K4326" t="n">
        <v>0</v>
      </c>
      <c r="L4326" t="n">
        <v>0</v>
      </c>
      <c r="M4326" t="n">
        <v>0</v>
      </c>
      <c r="N4326" t="n">
        <v>0</v>
      </c>
      <c r="O4326" t="n">
        <v>0</v>
      </c>
      <c r="P4326" t="n">
        <v>0</v>
      </c>
      <c r="Q4326" t="n">
        <v>0</v>
      </c>
      <c r="R4326" s="2" t="inlineStr"/>
    </row>
    <row r="4327" ht="15" customHeight="1">
      <c r="A4327" t="inlineStr">
        <is>
          <t>A 12872-2020</t>
        </is>
      </c>
      <c r="B4327" s="1" t="n">
        <v>43899</v>
      </c>
      <c r="C4327" s="1" t="n">
        <v>45227</v>
      </c>
      <c r="D4327" t="inlineStr">
        <is>
          <t>VÄSTRA GÖTALANDS LÄN</t>
        </is>
      </c>
      <c r="E4327" t="inlineStr">
        <is>
          <t>MUNKEDAL</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13993-2020</t>
        </is>
      </c>
      <c r="B4328" s="1" t="n">
        <v>43899</v>
      </c>
      <c r="C4328" s="1" t="n">
        <v>45227</v>
      </c>
      <c r="D4328" t="inlineStr">
        <is>
          <t>VÄSTRA GÖTALANDS LÄN</t>
        </is>
      </c>
      <c r="E4328" t="inlineStr">
        <is>
          <t>UDDEVALLA</t>
        </is>
      </c>
      <c r="F4328" t="inlineStr">
        <is>
          <t>Kyrkan</t>
        </is>
      </c>
      <c r="G4328" t="n">
        <v>9.4</v>
      </c>
      <c r="H4328" t="n">
        <v>0</v>
      </c>
      <c r="I4328" t="n">
        <v>0</v>
      </c>
      <c r="J4328" t="n">
        <v>0</v>
      </c>
      <c r="K4328" t="n">
        <v>0</v>
      </c>
      <c r="L4328" t="n">
        <v>0</v>
      </c>
      <c r="M4328" t="n">
        <v>0</v>
      </c>
      <c r="N4328" t="n">
        <v>0</v>
      </c>
      <c r="O4328" t="n">
        <v>0</v>
      </c>
      <c r="P4328" t="n">
        <v>0</v>
      </c>
      <c r="Q4328" t="n">
        <v>0</v>
      </c>
      <c r="R4328" s="2" t="inlineStr"/>
    </row>
    <row r="4329" ht="15" customHeight="1">
      <c r="A4329" t="inlineStr">
        <is>
          <t>A 12597-2020</t>
        </is>
      </c>
      <c r="B4329" s="1" t="n">
        <v>43899</v>
      </c>
      <c r="C4329" s="1" t="n">
        <v>45227</v>
      </c>
      <c r="D4329" t="inlineStr">
        <is>
          <t>VÄSTRA GÖTALANDS LÄN</t>
        </is>
      </c>
      <c r="E4329" t="inlineStr">
        <is>
          <t>LIDKÖPING</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12693-2020</t>
        </is>
      </c>
      <c r="B4330" s="1" t="n">
        <v>43899</v>
      </c>
      <c r="C4330" s="1" t="n">
        <v>45227</v>
      </c>
      <c r="D4330" t="inlineStr">
        <is>
          <t>VÄSTRA GÖTALANDS LÄN</t>
        </is>
      </c>
      <c r="E4330" t="inlineStr">
        <is>
          <t>LIDKÖPING</t>
        </is>
      </c>
      <c r="G4330" t="n">
        <v>4.8</v>
      </c>
      <c r="H4330" t="n">
        <v>0</v>
      </c>
      <c r="I4330" t="n">
        <v>0</v>
      </c>
      <c r="J4330" t="n">
        <v>0</v>
      </c>
      <c r="K4330" t="n">
        <v>0</v>
      </c>
      <c r="L4330" t="n">
        <v>0</v>
      </c>
      <c r="M4330" t="n">
        <v>0</v>
      </c>
      <c r="N4330" t="n">
        <v>0</v>
      </c>
      <c r="O4330" t="n">
        <v>0</v>
      </c>
      <c r="P4330" t="n">
        <v>0</v>
      </c>
      <c r="Q4330" t="n">
        <v>0</v>
      </c>
      <c r="R4330" s="2" t="inlineStr"/>
    </row>
    <row r="4331" ht="15" customHeight="1">
      <c r="A4331" t="inlineStr">
        <is>
          <t>A 12835-2020</t>
        </is>
      </c>
      <c r="B4331" s="1" t="n">
        <v>43899</v>
      </c>
      <c r="C4331" s="1" t="n">
        <v>45227</v>
      </c>
      <c r="D4331" t="inlineStr">
        <is>
          <t>VÄSTRA GÖTALANDS LÄN</t>
        </is>
      </c>
      <c r="E4331" t="inlineStr">
        <is>
          <t>BENGTSFORS</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12860-2020</t>
        </is>
      </c>
      <c r="B4332" s="1" t="n">
        <v>43899</v>
      </c>
      <c r="C4332" s="1" t="n">
        <v>45227</v>
      </c>
      <c r="D4332" t="inlineStr">
        <is>
          <t>VÄSTRA GÖTALANDS LÄN</t>
        </is>
      </c>
      <c r="E4332" t="inlineStr">
        <is>
          <t>ULRICEHAMN</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12638-2020</t>
        </is>
      </c>
      <c r="B4333" s="1" t="n">
        <v>43899</v>
      </c>
      <c r="C4333" s="1" t="n">
        <v>45227</v>
      </c>
      <c r="D4333" t="inlineStr">
        <is>
          <t>VÄSTRA GÖTALANDS LÄN</t>
        </is>
      </c>
      <c r="E4333" t="inlineStr">
        <is>
          <t>ULRICEHAMN</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12697-2020</t>
        </is>
      </c>
      <c r="B4334" s="1" t="n">
        <v>43899</v>
      </c>
      <c r="C4334" s="1" t="n">
        <v>45227</v>
      </c>
      <c r="D4334" t="inlineStr">
        <is>
          <t>VÄSTRA GÖTALANDS LÄN</t>
        </is>
      </c>
      <c r="E4334" t="inlineStr">
        <is>
          <t>LIDKÖPING</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13316-2020</t>
        </is>
      </c>
      <c r="B4335" s="1" t="n">
        <v>43900</v>
      </c>
      <c r="C4335" s="1" t="n">
        <v>45227</v>
      </c>
      <c r="D4335" t="inlineStr">
        <is>
          <t>VÄSTRA GÖTALANDS LÄN</t>
        </is>
      </c>
      <c r="E4335" t="inlineStr">
        <is>
          <t>VARA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12994-2020</t>
        </is>
      </c>
      <c r="B4336" s="1" t="n">
        <v>43900</v>
      </c>
      <c r="C4336" s="1" t="n">
        <v>45227</v>
      </c>
      <c r="D4336" t="inlineStr">
        <is>
          <t>VÄSTRA GÖTALANDS LÄN</t>
        </is>
      </c>
      <c r="E4336" t="inlineStr">
        <is>
          <t>GRÄSTORP</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13009-2020</t>
        </is>
      </c>
      <c r="B4337" s="1" t="n">
        <v>43900</v>
      </c>
      <c r="C4337" s="1" t="n">
        <v>45227</v>
      </c>
      <c r="D4337" t="inlineStr">
        <is>
          <t>VÄSTRA GÖTALANDS LÄN</t>
        </is>
      </c>
      <c r="E4337" t="inlineStr">
        <is>
          <t>TIBRO</t>
        </is>
      </c>
      <c r="F4337" t="inlineStr">
        <is>
          <t>Sveaskog</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13020-2020</t>
        </is>
      </c>
      <c r="B4338" s="1" t="n">
        <v>43900</v>
      </c>
      <c r="C4338" s="1" t="n">
        <v>45227</v>
      </c>
      <c r="D4338" t="inlineStr">
        <is>
          <t>VÄSTRA GÖTALANDS LÄN</t>
        </is>
      </c>
      <c r="E4338" t="inlineStr">
        <is>
          <t>VÅRGÅRDA</t>
        </is>
      </c>
      <c r="G4338" t="n">
        <v>0.6</v>
      </c>
      <c r="H4338" t="n">
        <v>0</v>
      </c>
      <c r="I4338" t="n">
        <v>0</v>
      </c>
      <c r="J4338" t="n">
        <v>0</v>
      </c>
      <c r="K4338" t="n">
        <v>0</v>
      </c>
      <c r="L4338" t="n">
        <v>0</v>
      </c>
      <c r="M4338" t="n">
        <v>0</v>
      </c>
      <c r="N4338" t="n">
        <v>0</v>
      </c>
      <c r="O4338" t="n">
        <v>0</v>
      </c>
      <c r="P4338" t="n">
        <v>0</v>
      </c>
      <c r="Q4338" t="n">
        <v>0</v>
      </c>
      <c r="R4338" s="2" t="inlineStr"/>
    </row>
    <row r="4339" ht="15" customHeight="1">
      <c r="A4339" t="inlineStr">
        <is>
          <t>A 13024-2020</t>
        </is>
      </c>
      <c r="B4339" s="1" t="n">
        <v>43900</v>
      </c>
      <c r="C4339" s="1" t="n">
        <v>45227</v>
      </c>
      <c r="D4339" t="inlineStr">
        <is>
          <t>VÄSTRA GÖTALANDS LÄN</t>
        </is>
      </c>
      <c r="E4339" t="inlineStr">
        <is>
          <t>ALINGSÅS</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13055-2020</t>
        </is>
      </c>
      <c r="B4340" s="1" t="n">
        <v>43900</v>
      </c>
      <c r="C4340" s="1" t="n">
        <v>45227</v>
      </c>
      <c r="D4340" t="inlineStr">
        <is>
          <t>VÄSTRA GÖTALANDS LÄN</t>
        </is>
      </c>
      <c r="E4340" t="inlineStr">
        <is>
          <t>BENGTSFORS</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12932-2020</t>
        </is>
      </c>
      <c r="B4341" s="1" t="n">
        <v>43900</v>
      </c>
      <c r="C4341" s="1" t="n">
        <v>45227</v>
      </c>
      <c r="D4341" t="inlineStr">
        <is>
          <t>VÄSTRA GÖTALANDS LÄN</t>
        </is>
      </c>
      <c r="E4341" t="inlineStr">
        <is>
          <t>LILLA EDET</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12985-2020</t>
        </is>
      </c>
      <c r="B4342" s="1" t="n">
        <v>43900</v>
      </c>
      <c r="C4342" s="1" t="n">
        <v>45227</v>
      </c>
      <c r="D4342" t="inlineStr">
        <is>
          <t>VÄSTRA GÖTALANDS LÄN</t>
        </is>
      </c>
      <c r="E4342" t="inlineStr">
        <is>
          <t>GRÄSTORP</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13000-2020</t>
        </is>
      </c>
      <c r="B4343" s="1" t="n">
        <v>43900</v>
      </c>
      <c r="C4343" s="1" t="n">
        <v>45227</v>
      </c>
      <c r="D4343" t="inlineStr">
        <is>
          <t>VÄSTRA GÖTALANDS LÄN</t>
        </is>
      </c>
      <c r="E4343" t="inlineStr">
        <is>
          <t>BENGTSFORS</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13061-2020</t>
        </is>
      </c>
      <c r="B4344" s="1" t="n">
        <v>43900</v>
      </c>
      <c r="C4344" s="1" t="n">
        <v>45227</v>
      </c>
      <c r="D4344" t="inlineStr">
        <is>
          <t>VÄSTRA GÖTALANDS LÄN</t>
        </is>
      </c>
      <c r="E4344" t="inlineStr">
        <is>
          <t>BORÅS</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14123-2020</t>
        </is>
      </c>
      <c r="B4345" s="1" t="n">
        <v>43900</v>
      </c>
      <c r="C4345" s="1" t="n">
        <v>45227</v>
      </c>
      <c r="D4345" t="inlineStr">
        <is>
          <t>VÄSTRA GÖTALANDS LÄN</t>
        </is>
      </c>
      <c r="E4345" t="inlineStr">
        <is>
          <t>TANUM</t>
        </is>
      </c>
      <c r="F4345" t="inlineStr">
        <is>
          <t>Kyrkan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14489-2020</t>
        </is>
      </c>
      <c r="B4346" s="1" t="n">
        <v>43900</v>
      </c>
      <c r="C4346" s="1" t="n">
        <v>45227</v>
      </c>
      <c r="D4346" t="inlineStr">
        <is>
          <t>VÄSTRA GÖTALANDS LÄN</t>
        </is>
      </c>
      <c r="E4346" t="inlineStr">
        <is>
          <t>TANUM</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14486-2020</t>
        </is>
      </c>
      <c r="B4347" s="1" t="n">
        <v>43900</v>
      </c>
      <c r="C4347" s="1" t="n">
        <v>45227</v>
      </c>
      <c r="D4347" t="inlineStr">
        <is>
          <t>VÄSTRA GÖTALANDS LÄN</t>
        </is>
      </c>
      <c r="E4347" t="inlineStr">
        <is>
          <t>TANUM</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12880-2020</t>
        </is>
      </c>
      <c r="B4348" s="1" t="n">
        <v>43900</v>
      </c>
      <c r="C4348" s="1" t="n">
        <v>45227</v>
      </c>
      <c r="D4348" t="inlineStr">
        <is>
          <t>VÄSTRA GÖTALANDS LÄN</t>
        </is>
      </c>
      <c r="E4348" t="inlineStr">
        <is>
          <t>TÖREBODA</t>
        </is>
      </c>
      <c r="G4348" t="n">
        <v>3.8</v>
      </c>
      <c r="H4348" t="n">
        <v>0</v>
      </c>
      <c r="I4348" t="n">
        <v>0</v>
      </c>
      <c r="J4348" t="n">
        <v>0</v>
      </c>
      <c r="K4348" t="n">
        <v>0</v>
      </c>
      <c r="L4348" t="n">
        <v>0</v>
      </c>
      <c r="M4348" t="n">
        <v>0</v>
      </c>
      <c r="N4348" t="n">
        <v>0</v>
      </c>
      <c r="O4348" t="n">
        <v>0</v>
      </c>
      <c r="P4348" t="n">
        <v>0</v>
      </c>
      <c r="Q4348" t="n">
        <v>0</v>
      </c>
      <c r="R4348" s="2" t="inlineStr"/>
    </row>
    <row r="4349" ht="15" customHeight="1">
      <c r="A4349" t="inlineStr">
        <is>
          <t>A 12966-2020</t>
        </is>
      </c>
      <c r="B4349" s="1" t="n">
        <v>43900</v>
      </c>
      <c r="C4349" s="1" t="n">
        <v>45227</v>
      </c>
      <c r="D4349" t="inlineStr">
        <is>
          <t>VÄSTRA GÖTALANDS LÄN</t>
        </is>
      </c>
      <c r="E4349" t="inlineStr">
        <is>
          <t>MARIESTAD</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12973-2020</t>
        </is>
      </c>
      <c r="B4350" s="1" t="n">
        <v>43900</v>
      </c>
      <c r="C4350" s="1" t="n">
        <v>45227</v>
      </c>
      <c r="D4350" t="inlineStr">
        <is>
          <t>VÄSTRA GÖTALANDS LÄN</t>
        </is>
      </c>
      <c r="E4350" t="inlineStr">
        <is>
          <t>SKÖVDE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13004-2020</t>
        </is>
      </c>
      <c r="B4351" s="1" t="n">
        <v>43900</v>
      </c>
      <c r="C4351" s="1" t="n">
        <v>45227</v>
      </c>
      <c r="D4351" t="inlineStr">
        <is>
          <t>VÄSTRA GÖTALANDS LÄN</t>
        </is>
      </c>
      <c r="E4351" t="inlineStr">
        <is>
          <t>GRÄSTORP</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13016-2020</t>
        </is>
      </c>
      <c r="B4352" s="1" t="n">
        <v>43900</v>
      </c>
      <c r="C4352" s="1" t="n">
        <v>45227</v>
      </c>
      <c r="D4352" t="inlineStr">
        <is>
          <t>VÄSTRA GÖTALANDS LÄN</t>
        </is>
      </c>
      <c r="E4352" t="inlineStr">
        <is>
          <t>VÅRGÅRDA</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13022-2020</t>
        </is>
      </c>
      <c r="B4353" s="1" t="n">
        <v>43900</v>
      </c>
      <c r="C4353" s="1" t="n">
        <v>45227</v>
      </c>
      <c r="D4353" t="inlineStr">
        <is>
          <t>VÄSTRA GÖTALANDS LÄN</t>
        </is>
      </c>
      <c r="E4353" t="inlineStr">
        <is>
          <t>SVENLJUNGA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13159-2020</t>
        </is>
      </c>
      <c r="B4354" s="1" t="n">
        <v>43901</v>
      </c>
      <c r="C4354" s="1" t="n">
        <v>45227</v>
      </c>
      <c r="D4354" t="inlineStr">
        <is>
          <t>VÄSTRA GÖTALANDS LÄN</t>
        </is>
      </c>
      <c r="E4354" t="inlineStr">
        <is>
          <t>SKARA</t>
        </is>
      </c>
      <c r="F4354" t="inlineStr">
        <is>
          <t>Sveaskog</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13205-2020</t>
        </is>
      </c>
      <c r="B4355" s="1" t="n">
        <v>43901</v>
      </c>
      <c r="C4355" s="1" t="n">
        <v>45227</v>
      </c>
      <c r="D4355" t="inlineStr">
        <is>
          <t>VÄSTRA GÖTALANDS LÄN</t>
        </is>
      </c>
      <c r="E4355" t="inlineStr">
        <is>
          <t>SKARA</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13134-2020</t>
        </is>
      </c>
      <c r="B4356" s="1" t="n">
        <v>43901</v>
      </c>
      <c r="C4356" s="1" t="n">
        <v>45227</v>
      </c>
      <c r="D4356" t="inlineStr">
        <is>
          <t>VÄSTRA GÖTALANDS LÄN</t>
        </is>
      </c>
      <c r="E4356" t="inlineStr">
        <is>
          <t>DALS-ED</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13203-2020</t>
        </is>
      </c>
      <c r="B4357" s="1" t="n">
        <v>43901</v>
      </c>
      <c r="C4357" s="1" t="n">
        <v>45227</v>
      </c>
      <c r="D4357" t="inlineStr">
        <is>
          <t>VÄSTRA GÖTALANDS LÄN</t>
        </is>
      </c>
      <c r="E4357" t="inlineStr">
        <is>
          <t>ULRICEHAMN</t>
        </is>
      </c>
      <c r="G4357" t="n">
        <v>9.199999999999999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13210-2020</t>
        </is>
      </c>
      <c r="B4358" s="1" t="n">
        <v>43901</v>
      </c>
      <c r="C4358" s="1" t="n">
        <v>45227</v>
      </c>
      <c r="D4358" t="inlineStr">
        <is>
          <t>VÄSTRA GÖTALANDS LÄN</t>
        </is>
      </c>
      <c r="E4358" t="inlineStr">
        <is>
          <t>ULRICEHAMN</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13289-2020</t>
        </is>
      </c>
      <c r="B4359" s="1" t="n">
        <v>43901</v>
      </c>
      <c r="C4359" s="1" t="n">
        <v>45227</v>
      </c>
      <c r="D4359" t="inlineStr">
        <is>
          <t>VÄSTRA GÖTALANDS LÄN</t>
        </is>
      </c>
      <c r="E4359" t="inlineStr">
        <is>
          <t>BENGTSFORS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14603-2020</t>
        </is>
      </c>
      <c r="B4360" s="1" t="n">
        <v>43901</v>
      </c>
      <c r="C4360" s="1" t="n">
        <v>45227</v>
      </c>
      <c r="D4360" t="inlineStr">
        <is>
          <t>VÄSTRA GÖTALANDS LÄN</t>
        </is>
      </c>
      <c r="E4360" t="inlineStr">
        <is>
          <t>DALS-ED</t>
        </is>
      </c>
      <c r="F4360" t="inlineStr">
        <is>
          <t>Kyrkan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13136-2020</t>
        </is>
      </c>
      <c r="B4361" s="1" t="n">
        <v>43901</v>
      </c>
      <c r="C4361" s="1" t="n">
        <v>45227</v>
      </c>
      <c r="D4361" t="inlineStr">
        <is>
          <t>VÄSTRA GÖTALANDS LÄN</t>
        </is>
      </c>
      <c r="E4361" t="inlineStr">
        <is>
          <t>ULRICEHAMN</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13127-2020</t>
        </is>
      </c>
      <c r="B4362" s="1" t="n">
        <v>43901</v>
      </c>
      <c r="C4362" s="1" t="n">
        <v>45227</v>
      </c>
      <c r="D4362" t="inlineStr">
        <is>
          <t>VÄSTRA GÖTALANDS LÄN</t>
        </is>
      </c>
      <c r="E4362" t="inlineStr">
        <is>
          <t>DALS-ED</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13220-2020</t>
        </is>
      </c>
      <c r="B4363" s="1" t="n">
        <v>43901</v>
      </c>
      <c r="C4363" s="1" t="n">
        <v>45227</v>
      </c>
      <c r="D4363" t="inlineStr">
        <is>
          <t>VÄSTRA GÖTALANDS LÄN</t>
        </is>
      </c>
      <c r="E4363" t="inlineStr">
        <is>
          <t>ULRICEHAMN</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13432-2020</t>
        </is>
      </c>
      <c r="B4364" s="1" t="n">
        <v>43902</v>
      </c>
      <c r="C4364" s="1" t="n">
        <v>45227</v>
      </c>
      <c r="D4364" t="inlineStr">
        <is>
          <t>VÄSTRA GÖTALANDS LÄN</t>
        </is>
      </c>
      <c r="E4364" t="inlineStr">
        <is>
          <t>ALE</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13482-2020</t>
        </is>
      </c>
      <c r="B4365" s="1" t="n">
        <v>43902</v>
      </c>
      <c r="C4365" s="1" t="n">
        <v>45227</v>
      </c>
      <c r="D4365" t="inlineStr">
        <is>
          <t>VÄSTRA GÖTALANDS LÄN</t>
        </is>
      </c>
      <c r="E4365" t="inlineStr">
        <is>
          <t>MARK</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13521-2020</t>
        </is>
      </c>
      <c r="B4366" s="1" t="n">
        <v>43902</v>
      </c>
      <c r="C4366" s="1" t="n">
        <v>45227</v>
      </c>
      <c r="D4366" t="inlineStr">
        <is>
          <t>VÄSTRA GÖTALANDS LÄN</t>
        </is>
      </c>
      <c r="E4366" t="inlineStr">
        <is>
          <t>FÄRGELANDA</t>
        </is>
      </c>
      <c r="G4366" t="n">
        <v>4.8</v>
      </c>
      <c r="H4366" t="n">
        <v>0</v>
      </c>
      <c r="I4366" t="n">
        <v>0</v>
      </c>
      <c r="J4366" t="n">
        <v>0</v>
      </c>
      <c r="K4366" t="n">
        <v>0</v>
      </c>
      <c r="L4366" t="n">
        <v>0</v>
      </c>
      <c r="M4366" t="n">
        <v>0</v>
      </c>
      <c r="N4366" t="n">
        <v>0</v>
      </c>
      <c r="O4366" t="n">
        <v>0</v>
      </c>
      <c r="P4366" t="n">
        <v>0</v>
      </c>
      <c r="Q4366" t="n">
        <v>0</v>
      </c>
      <c r="R4366" s="2" t="inlineStr"/>
    </row>
    <row r="4367" ht="15" customHeight="1">
      <c r="A4367" t="inlineStr">
        <is>
          <t>A 13478-2020</t>
        </is>
      </c>
      <c r="B4367" s="1" t="n">
        <v>43902</v>
      </c>
      <c r="C4367" s="1" t="n">
        <v>45227</v>
      </c>
      <c r="D4367" t="inlineStr">
        <is>
          <t>VÄSTRA GÖTALANDS LÄN</t>
        </is>
      </c>
      <c r="E4367" t="inlineStr">
        <is>
          <t>ULRICEHAMN</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13536-2020</t>
        </is>
      </c>
      <c r="B4368" s="1" t="n">
        <v>43902</v>
      </c>
      <c r="C4368" s="1" t="n">
        <v>45227</v>
      </c>
      <c r="D4368" t="inlineStr">
        <is>
          <t>VÄSTRA GÖTALANDS LÄN</t>
        </is>
      </c>
      <c r="E4368" t="inlineStr">
        <is>
          <t>TIBRO</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14666-2020</t>
        </is>
      </c>
      <c r="B4369" s="1" t="n">
        <v>43902</v>
      </c>
      <c r="C4369" s="1" t="n">
        <v>45227</v>
      </c>
      <c r="D4369" t="inlineStr">
        <is>
          <t>VÄSTRA GÖTALANDS LÄN</t>
        </is>
      </c>
      <c r="E4369" t="inlineStr">
        <is>
          <t>KARLSBORG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14748-2020</t>
        </is>
      </c>
      <c r="B4370" s="1" t="n">
        <v>43902</v>
      </c>
      <c r="C4370" s="1" t="n">
        <v>45227</v>
      </c>
      <c r="D4370" t="inlineStr">
        <is>
          <t>VÄSTRA GÖTALANDS LÄN</t>
        </is>
      </c>
      <c r="E4370" t="inlineStr">
        <is>
          <t>BENGTSFORS</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13327-2020</t>
        </is>
      </c>
      <c r="B4371" s="1" t="n">
        <v>43902</v>
      </c>
      <c r="C4371" s="1" t="n">
        <v>45227</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13397-2020</t>
        </is>
      </c>
      <c r="B4372" s="1" t="n">
        <v>43902</v>
      </c>
      <c r="C4372" s="1" t="n">
        <v>45227</v>
      </c>
      <c r="D4372" t="inlineStr">
        <is>
          <t>VÄSTRA GÖTALANDS LÄN</t>
        </is>
      </c>
      <c r="E4372" t="inlineStr">
        <is>
          <t>SVENLJUNGA</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14529-2020</t>
        </is>
      </c>
      <c r="B4373" s="1" t="n">
        <v>43902</v>
      </c>
      <c r="C4373" s="1" t="n">
        <v>45227</v>
      </c>
      <c r="D4373" t="inlineStr">
        <is>
          <t>VÄSTRA GÖTALANDS LÄN</t>
        </is>
      </c>
      <c r="E4373" t="inlineStr">
        <is>
          <t>STRÖMSTAD</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14745-2020</t>
        </is>
      </c>
      <c r="B4374" s="1" t="n">
        <v>43902</v>
      </c>
      <c r="C4374" s="1" t="n">
        <v>45227</v>
      </c>
      <c r="D4374" t="inlineStr">
        <is>
          <t>VÄSTRA GÖTALANDS LÄN</t>
        </is>
      </c>
      <c r="E4374" t="inlineStr">
        <is>
          <t>VARA</t>
        </is>
      </c>
      <c r="G4374" t="n">
        <v>8</v>
      </c>
      <c r="H4374" t="n">
        <v>0</v>
      </c>
      <c r="I4374" t="n">
        <v>0</v>
      </c>
      <c r="J4374" t="n">
        <v>0</v>
      </c>
      <c r="K4374" t="n">
        <v>0</v>
      </c>
      <c r="L4374" t="n">
        <v>0</v>
      </c>
      <c r="M4374" t="n">
        <v>0</v>
      </c>
      <c r="N4374" t="n">
        <v>0</v>
      </c>
      <c r="O4374" t="n">
        <v>0</v>
      </c>
      <c r="P4374" t="n">
        <v>0</v>
      </c>
      <c r="Q4374" t="n">
        <v>0</v>
      </c>
      <c r="R4374" s="2" t="inlineStr"/>
    </row>
    <row r="4375" ht="15" customHeight="1">
      <c r="A4375" t="inlineStr">
        <is>
          <t>A 13343-2020</t>
        </is>
      </c>
      <c r="B4375" s="1" t="n">
        <v>43902</v>
      </c>
      <c r="C4375" s="1" t="n">
        <v>45227</v>
      </c>
      <c r="D4375" t="inlineStr">
        <is>
          <t>VÄSTRA GÖTALANDS LÄN</t>
        </is>
      </c>
      <c r="E4375" t="inlineStr">
        <is>
          <t>MARIESTAD</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13392-2020</t>
        </is>
      </c>
      <c r="B4376" s="1" t="n">
        <v>43902</v>
      </c>
      <c r="C4376" s="1" t="n">
        <v>45227</v>
      </c>
      <c r="D4376" t="inlineStr">
        <is>
          <t>VÄSTRA GÖTALANDS LÄN</t>
        </is>
      </c>
      <c r="E4376" t="inlineStr">
        <is>
          <t>SVENLJUNGA</t>
        </is>
      </c>
      <c r="G4376" t="n">
        <v>4.3</v>
      </c>
      <c r="H4376" t="n">
        <v>0</v>
      </c>
      <c r="I4376" t="n">
        <v>0</v>
      </c>
      <c r="J4376" t="n">
        <v>0</v>
      </c>
      <c r="K4376" t="n">
        <v>0</v>
      </c>
      <c r="L4376" t="n">
        <v>0</v>
      </c>
      <c r="M4376" t="n">
        <v>0</v>
      </c>
      <c r="N4376" t="n">
        <v>0</v>
      </c>
      <c r="O4376" t="n">
        <v>0</v>
      </c>
      <c r="P4376" t="n">
        <v>0</v>
      </c>
      <c r="Q4376" t="n">
        <v>0</v>
      </c>
      <c r="R4376" s="2" t="inlineStr"/>
    </row>
    <row r="4377" ht="15" customHeight="1">
      <c r="A4377" t="inlineStr">
        <is>
          <t>A 14690-2020</t>
        </is>
      </c>
      <c r="B4377" s="1" t="n">
        <v>43903</v>
      </c>
      <c r="C4377" s="1" t="n">
        <v>45227</v>
      </c>
      <c r="D4377" t="inlineStr">
        <is>
          <t>VÄSTRA GÖTALANDS LÄN</t>
        </is>
      </c>
      <c r="E4377" t="inlineStr">
        <is>
          <t>VARA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13937-2020</t>
        </is>
      </c>
      <c r="B4378" s="1" t="n">
        <v>43903</v>
      </c>
      <c r="C4378" s="1" t="n">
        <v>45227</v>
      </c>
      <c r="D4378" t="inlineStr">
        <is>
          <t>VÄSTRA GÖTALANDS LÄN</t>
        </is>
      </c>
      <c r="E4378" t="inlineStr">
        <is>
          <t>VARA</t>
        </is>
      </c>
      <c r="G4378" t="n">
        <v>3.9</v>
      </c>
      <c r="H4378" t="n">
        <v>0</v>
      </c>
      <c r="I4378" t="n">
        <v>0</v>
      </c>
      <c r="J4378" t="n">
        <v>0</v>
      </c>
      <c r="K4378" t="n">
        <v>0</v>
      </c>
      <c r="L4378" t="n">
        <v>0</v>
      </c>
      <c r="M4378" t="n">
        <v>0</v>
      </c>
      <c r="N4378" t="n">
        <v>0</v>
      </c>
      <c r="O4378" t="n">
        <v>0</v>
      </c>
      <c r="P4378" t="n">
        <v>0</v>
      </c>
      <c r="Q4378" t="n">
        <v>0</v>
      </c>
      <c r="R4378" s="2" t="inlineStr"/>
    </row>
    <row r="4379" ht="15" customHeight="1">
      <c r="A4379" t="inlineStr">
        <is>
          <t>A 13589-2020</t>
        </is>
      </c>
      <c r="B4379" s="1" t="n">
        <v>43903</v>
      </c>
      <c r="C4379" s="1" t="n">
        <v>45227</v>
      </c>
      <c r="D4379" t="inlineStr">
        <is>
          <t>VÄSTRA GÖTALANDS LÄN</t>
        </is>
      </c>
      <c r="E4379" t="inlineStr">
        <is>
          <t>BENGTSFORS</t>
        </is>
      </c>
      <c r="F4379" t="inlineStr">
        <is>
          <t>Övriga Aktiebolag</t>
        </is>
      </c>
      <c r="G4379" t="n">
        <v>4.6</v>
      </c>
      <c r="H4379" t="n">
        <v>0</v>
      </c>
      <c r="I4379" t="n">
        <v>0</v>
      </c>
      <c r="J4379" t="n">
        <v>0</v>
      </c>
      <c r="K4379" t="n">
        <v>0</v>
      </c>
      <c r="L4379" t="n">
        <v>0</v>
      </c>
      <c r="M4379" t="n">
        <v>0</v>
      </c>
      <c r="N4379" t="n">
        <v>0</v>
      </c>
      <c r="O4379" t="n">
        <v>0</v>
      </c>
      <c r="P4379" t="n">
        <v>0</v>
      </c>
      <c r="Q4379" t="n">
        <v>0</v>
      </c>
      <c r="R4379" s="2" t="inlineStr"/>
    </row>
    <row r="4380" ht="15" customHeight="1">
      <c r="A4380" t="inlineStr">
        <is>
          <t>A 13608-2020</t>
        </is>
      </c>
      <c r="B4380" s="1" t="n">
        <v>43903</v>
      </c>
      <c r="C4380" s="1" t="n">
        <v>45227</v>
      </c>
      <c r="D4380" t="inlineStr">
        <is>
          <t>VÄSTRA GÖTALANDS LÄN</t>
        </is>
      </c>
      <c r="E4380" t="inlineStr">
        <is>
          <t>SKÖVDE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13652-2020</t>
        </is>
      </c>
      <c r="B4381" s="1" t="n">
        <v>43903</v>
      </c>
      <c r="C4381" s="1" t="n">
        <v>45227</v>
      </c>
      <c r="D4381" t="inlineStr">
        <is>
          <t>VÄSTRA GÖTALANDS LÄN</t>
        </is>
      </c>
      <c r="E4381" t="inlineStr">
        <is>
          <t>TIBRO</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13641-2020</t>
        </is>
      </c>
      <c r="B4382" s="1" t="n">
        <v>43903</v>
      </c>
      <c r="C4382" s="1" t="n">
        <v>45227</v>
      </c>
      <c r="D4382" t="inlineStr">
        <is>
          <t>VÄSTRA GÖTALANDS LÄN</t>
        </is>
      </c>
      <c r="E4382" t="inlineStr">
        <is>
          <t>TANUM</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13938-2020</t>
        </is>
      </c>
      <c r="B4383" s="1" t="n">
        <v>43903</v>
      </c>
      <c r="C4383" s="1" t="n">
        <v>45227</v>
      </c>
      <c r="D4383" t="inlineStr">
        <is>
          <t>VÄSTRA GÖTALANDS LÄN</t>
        </is>
      </c>
      <c r="E4383" t="inlineStr">
        <is>
          <t>VARA</t>
        </is>
      </c>
      <c r="G4383" t="n">
        <v>17.1</v>
      </c>
      <c r="H4383" t="n">
        <v>0</v>
      </c>
      <c r="I4383" t="n">
        <v>0</v>
      </c>
      <c r="J4383" t="n">
        <v>0</v>
      </c>
      <c r="K4383" t="n">
        <v>0</v>
      </c>
      <c r="L4383" t="n">
        <v>0</v>
      </c>
      <c r="M4383" t="n">
        <v>0</v>
      </c>
      <c r="N4383" t="n">
        <v>0</v>
      </c>
      <c r="O4383" t="n">
        <v>0</v>
      </c>
      <c r="P4383" t="n">
        <v>0</v>
      </c>
      <c r="Q4383" t="n">
        <v>0</v>
      </c>
      <c r="R4383" s="2" t="inlineStr"/>
    </row>
    <row r="4384" ht="15" customHeight="1">
      <c r="A4384" t="inlineStr">
        <is>
          <t>A 14034-2020</t>
        </is>
      </c>
      <c r="B4384" s="1" t="n">
        <v>43906</v>
      </c>
      <c r="C4384" s="1" t="n">
        <v>45227</v>
      </c>
      <c r="D4384" t="inlineStr">
        <is>
          <t>VÄSTRA GÖTALANDS LÄN</t>
        </is>
      </c>
      <c r="E4384" t="inlineStr">
        <is>
          <t>GULLSPÅNG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14029-2020</t>
        </is>
      </c>
      <c r="B4385" s="1" t="n">
        <v>43906</v>
      </c>
      <c r="C4385" s="1" t="n">
        <v>45227</v>
      </c>
      <c r="D4385" t="inlineStr">
        <is>
          <t>VÄSTRA GÖTALANDS LÄN</t>
        </is>
      </c>
      <c r="E4385" t="inlineStr">
        <is>
          <t>MARK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14032-2020</t>
        </is>
      </c>
      <c r="B4386" s="1" t="n">
        <v>43906</v>
      </c>
      <c r="C4386" s="1" t="n">
        <v>45227</v>
      </c>
      <c r="D4386" t="inlineStr">
        <is>
          <t>VÄSTRA GÖTALANDS LÄN</t>
        </is>
      </c>
      <c r="E4386" t="inlineStr">
        <is>
          <t>GULLSPÅNG</t>
        </is>
      </c>
      <c r="G4386" t="n">
        <v>0.2</v>
      </c>
      <c r="H4386" t="n">
        <v>0</v>
      </c>
      <c r="I4386" t="n">
        <v>0</v>
      </c>
      <c r="J4386" t="n">
        <v>0</v>
      </c>
      <c r="K4386" t="n">
        <v>0</v>
      </c>
      <c r="L4386" t="n">
        <v>0</v>
      </c>
      <c r="M4386" t="n">
        <v>0</v>
      </c>
      <c r="N4386" t="n">
        <v>0</v>
      </c>
      <c r="O4386" t="n">
        <v>0</v>
      </c>
      <c r="P4386" t="n">
        <v>0</v>
      </c>
      <c r="Q4386" t="n">
        <v>0</v>
      </c>
      <c r="R4386" s="2" t="inlineStr"/>
    </row>
    <row r="4387" ht="15" customHeight="1">
      <c r="A4387" t="inlineStr">
        <is>
          <t>A 13873-2020</t>
        </is>
      </c>
      <c r="B4387" s="1" t="n">
        <v>43906</v>
      </c>
      <c r="C4387" s="1" t="n">
        <v>45227</v>
      </c>
      <c r="D4387" t="inlineStr">
        <is>
          <t>VÄSTRA GÖTALANDS LÄN</t>
        </is>
      </c>
      <c r="E4387" t="inlineStr">
        <is>
          <t>MARIESTAD</t>
        </is>
      </c>
      <c r="F4387" t="inlineStr">
        <is>
          <t>Sveaskog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13884-2020</t>
        </is>
      </c>
      <c r="B4388" s="1" t="n">
        <v>43906</v>
      </c>
      <c r="C4388" s="1" t="n">
        <v>45227</v>
      </c>
      <c r="D4388" t="inlineStr">
        <is>
          <t>VÄSTRA GÖTALANDS LÄN</t>
        </is>
      </c>
      <c r="E4388" t="inlineStr">
        <is>
          <t>VARA</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13960-2020</t>
        </is>
      </c>
      <c r="B4389" s="1" t="n">
        <v>43906</v>
      </c>
      <c r="C4389" s="1" t="n">
        <v>45227</v>
      </c>
      <c r="D4389" t="inlineStr">
        <is>
          <t>VÄSTRA GÖTALANDS LÄN</t>
        </is>
      </c>
      <c r="E4389" t="inlineStr">
        <is>
          <t>UDDEVALLA</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16219-2020</t>
        </is>
      </c>
      <c r="B4390" s="1" t="n">
        <v>43907</v>
      </c>
      <c r="C4390" s="1" t="n">
        <v>45227</v>
      </c>
      <c r="D4390" t="inlineStr">
        <is>
          <t>VÄSTRA GÖTALANDS LÄN</t>
        </is>
      </c>
      <c r="E4390" t="inlineStr">
        <is>
          <t>FALKÖPING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14130-2020</t>
        </is>
      </c>
      <c r="B4391" s="1" t="n">
        <v>43907</v>
      </c>
      <c r="C4391" s="1" t="n">
        <v>45227</v>
      </c>
      <c r="D4391" t="inlineStr">
        <is>
          <t>VÄSTRA GÖTALANDS LÄN</t>
        </is>
      </c>
      <c r="E4391" t="inlineStr">
        <is>
          <t>VARA</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14219-2020</t>
        </is>
      </c>
      <c r="B4392" s="1" t="n">
        <v>43907</v>
      </c>
      <c r="C4392" s="1" t="n">
        <v>45227</v>
      </c>
      <c r="D4392" t="inlineStr">
        <is>
          <t>VÄSTRA GÖTALANDS LÄN</t>
        </is>
      </c>
      <c r="E4392" t="inlineStr">
        <is>
          <t>FALKÖPING</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14993-2020</t>
        </is>
      </c>
      <c r="B4393" s="1" t="n">
        <v>43907</v>
      </c>
      <c r="C4393" s="1" t="n">
        <v>45227</v>
      </c>
      <c r="D4393" t="inlineStr">
        <is>
          <t>VÄSTRA GÖTALANDS LÄN</t>
        </is>
      </c>
      <c r="E4393" t="inlineStr">
        <is>
          <t>MARK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14159-2020</t>
        </is>
      </c>
      <c r="B4394" s="1" t="n">
        <v>43907</v>
      </c>
      <c r="C4394" s="1" t="n">
        <v>45227</v>
      </c>
      <c r="D4394" t="inlineStr">
        <is>
          <t>VÄSTRA GÖTALANDS LÄN</t>
        </is>
      </c>
      <c r="E4394" t="inlineStr">
        <is>
          <t>BENGTSFORS</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14261-2020</t>
        </is>
      </c>
      <c r="B4395" s="1" t="n">
        <v>43907</v>
      </c>
      <c r="C4395" s="1" t="n">
        <v>45227</v>
      </c>
      <c r="D4395" t="inlineStr">
        <is>
          <t>VÄSTRA GÖTALANDS LÄN</t>
        </is>
      </c>
      <c r="E4395" t="inlineStr">
        <is>
          <t>GÖTENE</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14297-2020</t>
        </is>
      </c>
      <c r="B4396" s="1" t="n">
        <v>43907</v>
      </c>
      <c r="C4396" s="1" t="n">
        <v>45227</v>
      </c>
      <c r="D4396" t="inlineStr">
        <is>
          <t>VÄSTRA GÖTALANDS LÄN</t>
        </is>
      </c>
      <c r="E4396" t="inlineStr">
        <is>
          <t>UDDEVALLA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16237-2020</t>
        </is>
      </c>
      <c r="B4397" s="1" t="n">
        <v>43907</v>
      </c>
      <c r="C4397" s="1" t="n">
        <v>45227</v>
      </c>
      <c r="D4397" t="inlineStr">
        <is>
          <t>VÄSTRA GÖTALANDS LÄN</t>
        </is>
      </c>
      <c r="E4397" t="inlineStr">
        <is>
          <t>FALKÖPING</t>
        </is>
      </c>
      <c r="G4397" t="n">
        <v>5.1</v>
      </c>
      <c r="H4397" t="n">
        <v>0</v>
      </c>
      <c r="I4397" t="n">
        <v>0</v>
      </c>
      <c r="J4397" t="n">
        <v>0</v>
      </c>
      <c r="K4397" t="n">
        <v>0</v>
      </c>
      <c r="L4397" t="n">
        <v>0</v>
      </c>
      <c r="M4397" t="n">
        <v>0</v>
      </c>
      <c r="N4397" t="n">
        <v>0</v>
      </c>
      <c r="O4397" t="n">
        <v>0</v>
      </c>
      <c r="P4397" t="n">
        <v>0</v>
      </c>
      <c r="Q4397" t="n">
        <v>0</v>
      </c>
      <c r="R4397" s="2" t="inlineStr"/>
    </row>
    <row r="4398" ht="15" customHeight="1">
      <c r="A4398" t="inlineStr">
        <is>
          <t>A 14127-2020</t>
        </is>
      </c>
      <c r="B4398" s="1" t="n">
        <v>43907</v>
      </c>
      <c r="C4398" s="1" t="n">
        <v>45227</v>
      </c>
      <c r="D4398" t="inlineStr">
        <is>
          <t>VÄSTRA GÖTALANDS LÄN</t>
        </is>
      </c>
      <c r="E4398" t="inlineStr">
        <is>
          <t>VARA</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14248-2020</t>
        </is>
      </c>
      <c r="B4399" s="1" t="n">
        <v>43907</v>
      </c>
      <c r="C4399" s="1" t="n">
        <v>45227</v>
      </c>
      <c r="D4399" t="inlineStr">
        <is>
          <t>VÄSTRA GÖTALANDS LÄN</t>
        </is>
      </c>
      <c r="E4399" t="inlineStr">
        <is>
          <t>TROLLHÄTTAN</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16066-2020</t>
        </is>
      </c>
      <c r="B4400" s="1" t="n">
        <v>43907</v>
      </c>
      <c r="C4400" s="1" t="n">
        <v>45227</v>
      </c>
      <c r="D4400" t="inlineStr">
        <is>
          <t>VÄSTRA GÖTALANDS LÄN</t>
        </is>
      </c>
      <c r="E4400" t="inlineStr">
        <is>
          <t>FALKÖPING</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14357-2020</t>
        </is>
      </c>
      <c r="B4401" s="1" t="n">
        <v>43908</v>
      </c>
      <c r="C4401" s="1" t="n">
        <v>45227</v>
      </c>
      <c r="D4401" t="inlineStr">
        <is>
          <t>VÄSTRA GÖTALANDS LÄN</t>
        </is>
      </c>
      <c r="E4401" t="inlineStr">
        <is>
          <t>MUNKEDAL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14448-2020</t>
        </is>
      </c>
      <c r="B4402" s="1" t="n">
        <v>43908</v>
      </c>
      <c r="C4402" s="1" t="n">
        <v>45227</v>
      </c>
      <c r="D4402" t="inlineStr">
        <is>
          <t>VÄSTRA GÖTALANDS LÄN</t>
        </is>
      </c>
      <c r="E4402" t="inlineStr">
        <is>
          <t>BENGTSFORS</t>
        </is>
      </c>
      <c r="G4402" t="n">
        <v>2.8</v>
      </c>
      <c r="H4402" t="n">
        <v>0</v>
      </c>
      <c r="I4402" t="n">
        <v>0</v>
      </c>
      <c r="J4402" t="n">
        <v>0</v>
      </c>
      <c r="K4402" t="n">
        <v>0</v>
      </c>
      <c r="L4402" t="n">
        <v>0</v>
      </c>
      <c r="M4402" t="n">
        <v>0</v>
      </c>
      <c r="N4402" t="n">
        <v>0</v>
      </c>
      <c r="O4402" t="n">
        <v>0</v>
      </c>
      <c r="P4402" t="n">
        <v>0</v>
      </c>
      <c r="Q4402" t="n">
        <v>0</v>
      </c>
      <c r="R4402" s="2" t="inlineStr"/>
    </row>
    <row r="4403" ht="15" customHeight="1">
      <c r="A4403" t="inlineStr">
        <is>
          <t>A 14546-2020</t>
        </is>
      </c>
      <c r="B4403" s="1" t="n">
        <v>43908</v>
      </c>
      <c r="C4403" s="1" t="n">
        <v>45227</v>
      </c>
      <c r="D4403" t="inlineStr">
        <is>
          <t>VÄSTRA GÖTALANDS LÄN</t>
        </is>
      </c>
      <c r="E4403" t="inlineStr">
        <is>
          <t>MARK</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14568-2020</t>
        </is>
      </c>
      <c r="B4404" s="1" t="n">
        <v>43908</v>
      </c>
      <c r="C4404" s="1" t="n">
        <v>45227</v>
      </c>
      <c r="D4404" t="inlineStr">
        <is>
          <t>VÄSTRA GÖTALANDS LÄN</t>
        </is>
      </c>
      <c r="E4404" t="inlineStr">
        <is>
          <t>DALS-ED</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15275-2020</t>
        </is>
      </c>
      <c r="B4405" s="1" t="n">
        <v>43908</v>
      </c>
      <c r="C4405" s="1" t="n">
        <v>45227</v>
      </c>
      <c r="D4405" t="inlineStr">
        <is>
          <t>VÄSTRA GÖTALANDS LÄN</t>
        </is>
      </c>
      <c r="E4405" t="inlineStr">
        <is>
          <t>LIDKÖPING</t>
        </is>
      </c>
      <c r="F4405" t="inlineStr">
        <is>
          <t>Kommuner</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16355-2020</t>
        </is>
      </c>
      <c r="B4406" s="1" t="n">
        <v>43908</v>
      </c>
      <c r="C4406" s="1" t="n">
        <v>45227</v>
      </c>
      <c r="D4406" t="inlineStr">
        <is>
          <t>VÄSTRA GÖTALANDS LÄN</t>
        </is>
      </c>
      <c r="E4406" t="inlineStr">
        <is>
          <t>VARA</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14346-2020</t>
        </is>
      </c>
      <c r="B4407" s="1" t="n">
        <v>43908</v>
      </c>
      <c r="C4407" s="1" t="n">
        <v>45227</v>
      </c>
      <c r="D4407" t="inlineStr">
        <is>
          <t>VÄSTRA GÖTALANDS LÄN</t>
        </is>
      </c>
      <c r="E4407" t="inlineStr">
        <is>
          <t>ALINGSÅS</t>
        </is>
      </c>
      <c r="G4407" t="n">
        <v>4.1</v>
      </c>
      <c r="H4407" t="n">
        <v>0</v>
      </c>
      <c r="I4407" t="n">
        <v>0</v>
      </c>
      <c r="J4407" t="n">
        <v>0</v>
      </c>
      <c r="K4407" t="n">
        <v>0</v>
      </c>
      <c r="L4407" t="n">
        <v>0</v>
      </c>
      <c r="M4407" t="n">
        <v>0</v>
      </c>
      <c r="N4407" t="n">
        <v>0</v>
      </c>
      <c r="O4407" t="n">
        <v>0</v>
      </c>
      <c r="P4407" t="n">
        <v>0</v>
      </c>
      <c r="Q4407" t="n">
        <v>0</v>
      </c>
      <c r="R4407" s="2" t="inlineStr"/>
    </row>
    <row r="4408" ht="15" customHeight="1">
      <c r="A4408" t="inlineStr">
        <is>
          <t>A 14383-2020</t>
        </is>
      </c>
      <c r="B4408" s="1" t="n">
        <v>43908</v>
      </c>
      <c r="C4408" s="1" t="n">
        <v>45227</v>
      </c>
      <c r="D4408" t="inlineStr">
        <is>
          <t>VÄSTRA GÖTALANDS LÄN</t>
        </is>
      </c>
      <c r="E4408" t="inlineStr">
        <is>
          <t>FALKÖPING</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14412-2020</t>
        </is>
      </c>
      <c r="B4409" s="1" t="n">
        <v>43908</v>
      </c>
      <c r="C4409" s="1" t="n">
        <v>45227</v>
      </c>
      <c r="D4409" t="inlineStr">
        <is>
          <t>VÄSTRA GÖTALANDS LÄN</t>
        </is>
      </c>
      <c r="E4409" t="inlineStr">
        <is>
          <t>MARIESTAD</t>
        </is>
      </c>
      <c r="F4409" t="inlineStr">
        <is>
          <t>Kyrkan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15287-2020</t>
        </is>
      </c>
      <c r="B4410" s="1" t="n">
        <v>43908</v>
      </c>
      <c r="C4410" s="1" t="n">
        <v>45227</v>
      </c>
      <c r="D4410" t="inlineStr">
        <is>
          <t>VÄSTRA GÖTALANDS LÄN</t>
        </is>
      </c>
      <c r="E4410" t="inlineStr">
        <is>
          <t>LIDKÖPING</t>
        </is>
      </c>
      <c r="F4410" t="inlineStr">
        <is>
          <t>Kommuner</t>
        </is>
      </c>
      <c r="G4410" t="n">
        <v>2.3</v>
      </c>
      <c r="H4410" t="n">
        <v>0</v>
      </c>
      <c r="I4410" t="n">
        <v>0</v>
      </c>
      <c r="J4410" t="n">
        <v>0</v>
      </c>
      <c r="K4410" t="n">
        <v>0</v>
      </c>
      <c r="L4410" t="n">
        <v>0</v>
      </c>
      <c r="M4410" t="n">
        <v>0</v>
      </c>
      <c r="N4410" t="n">
        <v>0</v>
      </c>
      <c r="O4410" t="n">
        <v>0</v>
      </c>
      <c r="P4410" t="n">
        <v>0</v>
      </c>
      <c r="Q4410" t="n">
        <v>0</v>
      </c>
      <c r="R4410" s="2" t="inlineStr"/>
    </row>
    <row r="4411" ht="15" customHeight="1">
      <c r="A4411" t="inlineStr">
        <is>
          <t>A 16366-2020</t>
        </is>
      </c>
      <c r="B4411" s="1" t="n">
        <v>43908</v>
      </c>
      <c r="C4411" s="1" t="n">
        <v>45227</v>
      </c>
      <c r="D4411" t="inlineStr">
        <is>
          <t>VÄSTRA GÖTALANDS LÄN</t>
        </is>
      </c>
      <c r="E4411" t="inlineStr">
        <is>
          <t>VARA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14396-2020</t>
        </is>
      </c>
      <c r="B4412" s="1" t="n">
        <v>43908</v>
      </c>
      <c r="C4412" s="1" t="n">
        <v>45227</v>
      </c>
      <c r="D4412" t="inlineStr">
        <is>
          <t>VÄSTRA GÖTALANDS LÄN</t>
        </is>
      </c>
      <c r="E4412" t="inlineStr">
        <is>
          <t>FALKÖPING</t>
        </is>
      </c>
      <c r="F4412" t="inlineStr">
        <is>
          <t>Sveaskog</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14413-2020</t>
        </is>
      </c>
      <c r="B4413" s="1" t="n">
        <v>43908</v>
      </c>
      <c r="C4413" s="1" t="n">
        <v>45227</v>
      </c>
      <c r="D4413" t="inlineStr">
        <is>
          <t>VÄSTRA GÖTALANDS LÄN</t>
        </is>
      </c>
      <c r="E4413" t="inlineStr">
        <is>
          <t>DALS-ED</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14342-2020</t>
        </is>
      </c>
      <c r="B4414" s="1" t="n">
        <v>43908</v>
      </c>
      <c r="C4414" s="1" t="n">
        <v>45227</v>
      </c>
      <c r="D4414" t="inlineStr">
        <is>
          <t>VÄSTRA GÖTALANDS LÄN</t>
        </is>
      </c>
      <c r="E4414" t="inlineStr">
        <is>
          <t>FALKÖPING</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14569-2020</t>
        </is>
      </c>
      <c r="B4415" s="1" t="n">
        <v>43908</v>
      </c>
      <c r="C4415" s="1" t="n">
        <v>45227</v>
      </c>
      <c r="D4415" t="inlineStr">
        <is>
          <t>VÄSTRA GÖTALANDS LÄN</t>
        </is>
      </c>
      <c r="E4415" t="inlineStr">
        <is>
          <t>SKÖVDE</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14641-2020</t>
        </is>
      </c>
      <c r="B4416" s="1" t="n">
        <v>43909</v>
      </c>
      <c r="C4416" s="1" t="n">
        <v>45227</v>
      </c>
      <c r="D4416" t="inlineStr">
        <is>
          <t>VÄSTRA GÖTALANDS LÄN</t>
        </is>
      </c>
      <c r="E4416" t="inlineStr">
        <is>
          <t>BENGTSFORS</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14722-2020</t>
        </is>
      </c>
      <c r="B4417" s="1" t="n">
        <v>43909</v>
      </c>
      <c r="C4417" s="1" t="n">
        <v>45227</v>
      </c>
      <c r="D4417" t="inlineStr">
        <is>
          <t>VÄSTRA GÖTALANDS LÄN</t>
        </is>
      </c>
      <c r="E4417" t="inlineStr">
        <is>
          <t>SKARA</t>
        </is>
      </c>
      <c r="G4417" t="n">
        <v>2.6</v>
      </c>
      <c r="H4417" t="n">
        <v>0</v>
      </c>
      <c r="I4417" t="n">
        <v>0</v>
      </c>
      <c r="J4417" t="n">
        <v>0</v>
      </c>
      <c r="K4417" t="n">
        <v>0</v>
      </c>
      <c r="L4417" t="n">
        <v>0</v>
      </c>
      <c r="M4417" t="n">
        <v>0</v>
      </c>
      <c r="N4417" t="n">
        <v>0</v>
      </c>
      <c r="O4417" t="n">
        <v>0</v>
      </c>
      <c r="P4417" t="n">
        <v>0</v>
      </c>
      <c r="Q4417" t="n">
        <v>0</v>
      </c>
      <c r="R4417" s="2" t="inlineStr"/>
    </row>
    <row r="4418" ht="15" customHeight="1">
      <c r="A4418" t="inlineStr">
        <is>
          <t>A 14772-2020</t>
        </is>
      </c>
      <c r="B4418" s="1" t="n">
        <v>43909</v>
      </c>
      <c r="C4418" s="1" t="n">
        <v>45227</v>
      </c>
      <c r="D4418" t="inlineStr">
        <is>
          <t>VÄSTRA GÖTALANDS LÄN</t>
        </is>
      </c>
      <c r="E4418" t="inlineStr">
        <is>
          <t>LILLA EDET</t>
        </is>
      </c>
      <c r="G4418" t="n">
        <v>0.4</v>
      </c>
      <c r="H4418" t="n">
        <v>0</v>
      </c>
      <c r="I4418" t="n">
        <v>0</v>
      </c>
      <c r="J4418" t="n">
        <v>0</v>
      </c>
      <c r="K4418" t="n">
        <v>0</v>
      </c>
      <c r="L4418" t="n">
        <v>0</v>
      </c>
      <c r="M4418" t="n">
        <v>0</v>
      </c>
      <c r="N4418" t="n">
        <v>0</v>
      </c>
      <c r="O4418" t="n">
        <v>0</v>
      </c>
      <c r="P4418" t="n">
        <v>0</v>
      </c>
      <c r="Q4418" t="n">
        <v>0</v>
      </c>
      <c r="R4418" s="2" t="inlineStr"/>
    </row>
    <row r="4419" ht="15" customHeight="1">
      <c r="A4419" t="inlineStr">
        <is>
          <t>A 16553-2020</t>
        </is>
      </c>
      <c r="B4419" s="1" t="n">
        <v>43909</v>
      </c>
      <c r="C4419" s="1" t="n">
        <v>45227</v>
      </c>
      <c r="D4419" t="inlineStr">
        <is>
          <t>VÄSTRA GÖTALANDS LÄN</t>
        </is>
      </c>
      <c r="E4419" t="inlineStr">
        <is>
          <t>GULLSPÅNG</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14646-2020</t>
        </is>
      </c>
      <c r="B4420" s="1" t="n">
        <v>43909</v>
      </c>
      <c r="C4420" s="1" t="n">
        <v>45227</v>
      </c>
      <c r="D4420" t="inlineStr">
        <is>
          <t>VÄSTRA GÖTALANDS LÄN</t>
        </is>
      </c>
      <c r="E4420" t="inlineStr">
        <is>
          <t>DALS-ED</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14703-2020</t>
        </is>
      </c>
      <c r="B4421" s="1" t="n">
        <v>43909</v>
      </c>
      <c r="C4421" s="1" t="n">
        <v>45227</v>
      </c>
      <c r="D4421" t="inlineStr">
        <is>
          <t>VÄSTRA GÖTALANDS LÄN</t>
        </is>
      </c>
      <c r="E4421" t="inlineStr">
        <is>
          <t>TANUM</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14808-2020</t>
        </is>
      </c>
      <c r="B4422" s="1" t="n">
        <v>43909</v>
      </c>
      <c r="C4422" s="1" t="n">
        <v>45227</v>
      </c>
      <c r="D4422" t="inlineStr">
        <is>
          <t>VÄSTRA GÖTALANDS LÄN</t>
        </is>
      </c>
      <c r="E4422" t="inlineStr">
        <is>
          <t>KARLSBORG</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16460-2020</t>
        </is>
      </c>
      <c r="B4423" s="1" t="n">
        <v>43909</v>
      </c>
      <c r="C4423" s="1" t="n">
        <v>45227</v>
      </c>
      <c r="D4423" t="inlineStr">
        <is>
          <t>VÄSTRA GÖTALANDS LÄN</t>
        </is>
      </c>
      <c r="E4423" t="inlineStr">
        <is>
          <t>ÅMÅL</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14648-2020</t>
        </is>
      </c>
      <c r="B4424" s="1" t="n">
        <v>43909</v>
      </c>
      <c r="C4424" s="1" t="n">
        <v>45227</v>
      </c>
      <c r="D4424" t="inlineStr">
        <is>
          <t>VÄSTRA GÖTALANDS LÄN</t>
        </is>
      </c>
      <c r="E4424" t="inlineStr">
        <is>
          <t>TROLLHÄTTAN</t>
        </is>
      </c>
      <c r="G4424" t="n">
        <v>2.4</v>
      </c>
      <c r="H4424" t="n">
        <v>0</v>
      </c>
      <c r="I4424" t="n">
        <v>0</v>
      </c>
      <c r="J4424" t="n">
        <v>0</v>
      </c>
      <c r="K4424" t="n">
        <v>0</v>
      </c>
      <c r="L4424" t="n">
        <v>0</v>
      </c>
      <c r="M4424" t="n">
        <v>0</v>
      </c>
      <c r="N4424" t="n">
        <v>0</v>
      </c>
      <c r="O4424" t="n">
        <v>0</v>
      </c>
      <c r="P4424" t="n">
        <v>0</v>
      </c>
      <c r="Q4424" t="n">
        <v>0</v>
      </c>
      <c r="R4424" s="2" t="inlineStr"/>
    </row>
    <row r="4425" ht="15" customHeight="1">
      <c r="A4425" t="inlineStr">
        <is>
          <t>A 14670-2020</t>
        </is>
      </c>
      <c r="B4425" s="1" t="n">
        <v>43909</v>
      </c>
      <c r="C4425" s="1" t="n">
        <v>45227</v>
      </c>
      <c r="D4425" t="inlineStr">
        <is>
          <t>VÄSTRA GÖTALANDS LÄN</t>
        </is>
      </c>
      <c r="E4425" t="inlineStr">
        <is>
          <t>ESSUNGA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14734-2020</t>
        </is>
      </c>
      <c r="B4426" s="1" t="n">
        <v>43909</v>
      </c>
      <c r="C4426" s="1" t="n">
        <v>45227</v>
      </c>
      <c r="D4426" t="inlineStr">
        <is>
          <t>VÄSTRA GÖTALANDS LÄN</t>
        </is>
      </c>
      <c r="E4426" t="inlineStr">
        <is>
          <t>SKÖVDE</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14625-2020</t>
        </is>
      </c>
      <c r="B4427" s="1" t="n">
        <v>43909</v>
      </c>
      <c r="C4427" s="1" t="n">
        <v>45227</v>
      </c>
      <c r="D4427" t="inlineStr">
        <is>
          <t>VÄSTRA GÖTALANDS LÄN</t>
        </is>
      </c>
      <c r="E4427" t="inlineStr">
        <is>
          <t>VÅRGÅRDA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14779-2020</t>
        </is>
      </c>
      <c r="B4428" s="1" t="n">
        <v>43909</v>
      </c>
      <c r="C4428" s="1" t="n">
        <v>45227</v>
      </c>
      <c r="D4428" t="inlineStr">
        <is>
          <t>VÄSTRA GÖTALANDS LÄN</t>
        </is>
      </c>
      <c r="E4428" t="inlineStr">
        <is>
          <t>HÄRRYDA</t>
        </is>
      </c>
      <c r="F4428" t="inlineStr">
        <is>
          <t>Kommuner</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16551-2020</t>
        </is>
      </c>
      <c r="B4429" s="1" t="n">
        <v>43909</v>
      </c>
      <c r="C4429" s="1" t="n">
        <v>45227</v>
      </c>
      <c r="D4429" t="inlineStr">
        <is>
          <t>VÄSTRA GÖTALANDS LÄN</t>
        </is>
      </c>
      <c r="E4429" t="inlineStr">
        <is>
          <t>MARIESTAD</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15102-2020</t>
        </is>
      </c>
      <c r="B4430" s="1" t="n">
        <v>43910</v>
      </c>
      <c r="C4430" s="1" t="n">
        <v>45227</v>
      </c>
      <c r="D4430" t="inlineStr">
        <is>
          <t>VÄSTRA GÖTALANDS LÄN</t>
        </is>
      </c>
      <c r="E4430" t="inlineStr">
        <is>
          <t>FÄRGELANDA</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15083-2020</t>
        </is>
      </c>
      <c r="B4431" s="1" t="n">
        <v>43910</v>
      </c>
      <c r="C4431" s="1" t="n">
        <v>45227</v>
      </c>
      <c r="D4431" t="inlineStr">
        <is>
          <t>VÄSTRA GÖTALANDS LÄN</t>
        </is>
      </c>
      <c r="E4431" t="inlineStr">
        <is>
          <t>BENGTSFORS</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15164-2020</t>
        </is>
      </c>
      <c r="B4432" s="1" t="n">
        <v>43912</v>
      </c>
      <c r="C4432" s="1" t="n">
        <v>45227</v>
      </c>
      <c r="D4432" t="inlineStr">
        <is>
          <t>VÄSTRA GÖTALANDS LÄN</t>
        </is>
      </c>
      <c r="E4432" t="inlineStr">
        <is>
          <t>SVENLJUNGA</t>
        </is>
      </c>
      <c r="G4432" t="n">
        <v>16.4</v>
      </c>
      <c r="H4432" t="n">
        <v>0</v>
      </c>
      <c r="I4432" t="n">
        <v>0</v>
      </c>
      <c r="J4432" t="n">
        <v>0</v>
      </c>
      <c r="K4432" t="n">
        <v>0</v>
      </c>
      <c r="L4432" t="n">
        <v>0</v>
      </c>
      <c r="M4432" t="n">
        <v>0</v>
      </c>
      <c r="N4432" t="n">
        <v>0</v>
      </c>
      <c r="O4432" t="n">
        <v>0</v>
      </c>
      <c r="P4432" t="n">
        <v>0</v>
      </c>
      <c r="Q4432" t="n">
        <v>0</v>
      </c>
      <c r="R4432" s="2" t="inlineStr"/>
    </row>
    <row r="4433" ht="15" customHeight="1">
      <c r="A4433" t="inlineStr">
        <is>
          <t>A 15387-2020</t>
        </is>
      </c>
      <c r="B4433" s="1" t="n">
        <v>43913</v>
      </c>
      <c r="C4433" s="1" t="n">
        <v>45227</v>
      </c>
      <c r="D4433" t="inlineStr">
        <is>
          <t>VÄSTRA GÖTALANDS LÄN</t>
        </is>
      </c>
      <c r="E4433" t="inlineStr">
        <is>
          <t>BENGTSFORS</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16794-2020</t>
        </is>
      </c>
      <c r="B4434" s="1" t="n">
        <v>43913</v>
      </c>
      <c r="C4434" s="1" t="n">
        <v>45227</v>
      </c>
      <c r="D4434" t="inlineStr">
        <is>
          <t>VÄSTRA GÖTALANDS LÄN</t>
        </is>
      </c>
      <c r="E4434" t="inlineStr">
        <is>
          <t>TANUM</t>
        </is>
      </c>
      <c r="G4434" t="n">
        <v>7.3</v>
      </c>
      <c r="H4434" t="n">
        <v>0</v>
      </c>
      <c r="I4434" t="n">
        <v>0</v>
      </c>
      <c r="J4434" t="n">
        <v>0</v>
      </c>
      <c r="K4434" t="n">
        <v>0</v>
      </c>
      <c r="L4434" t="n">
        <v>0</v>
      </c>
      <c r="M4434" t="n">
        <v>0</v>
      </c>
      <c r="N4434" t="n">
        <v>0</v>
      </c>
      <c r="O4434" t="n">
        <v>0</v>
      </c>
      <c r="P4434" t="n">
        <v>0</v>
      </c>
      <c r="Q4434" t="n">
        <v>0</v>
      </c>
      <c r="R4434" s="2" t="inlineStr"/>
    </row>
    <row r="4435" ht="15" customHeight="1">
      <c r="A4435" t="inlineStr">
        <is>
          <t>A 15219-2020</t>
        </is>
      </c>
      <c r="B4435" s="1" t="n">
        <v>43913</v>
      </c>
      <c r="C4435" s="1" t="n">
        <v>45227</v>
      </c>
      <c r="D4435" t="inlineStr">
        <is>
          <t>VÄSTRA GÖTALANDS LÄN</t>
        </is>
      </c>
      <c r="E4435" t="inlineStr">
        <is>
          <t>TÖREBODA</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15261-2020</t>
        </is>
      </c>
      <c r="B4436" s="1" t="n">
        <v>43913</v>
      </c>
      <c r="C4436" s="1" t="n">
        <v>45227</v>
      </c>
      <c r="D4436" t="inlineStr">
        <is>
          <t>VÄSTRA GÖTALANDS LÄN</t>
        </is>
      </c>
      <c r="E4436" t="inlineStr">
        <is>
          <t>MARK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15242-2020</t>
        </is>
      </c>
      <c r="B4437" s="1" t="n">
        <v>43913</v>
      </c>
      <c r="C4437" s="1" t="n">
        <v>45227</v>
      </c>
      <c r="D4437" t="inlineStr">
        <is>
          <t>VÄSTRA GÖTALANDS LÄN</t>
        </is>
      </c>
      <c r="E4437" t="inlineStr">
        <is>
          <t>HERRLJUNGA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15270-2020</t>
        </is>
      </c>
      <c r="B4438" s="1" t="n">
        <v>43913</v>
      </c>
      <c r="C4438" s="1" t="n">
        <v>45227</v>
      </c>
      <c r="D4438" t="inlineStr">
        <is>
          <t>VÄSTRA GÖTALANDS LÄN</t>
        </is>
      </c>
      <c r="E4438" t="inlineStr">
        <is>
          <t>TRANEMO</t>
        </is>
      </c>
      <c r="G4438" t="n">
        <v>1.5</v>
      </c>
      <c r="H4438" t="n">
        <v>0</v>
      </c>
      <c r="I4438" t="n">
        <v>0</v>
      </c>
      <c r="J4438" t="n">
        <v>0</v>
      </c>
      <c r="K4438" t="n">
        <v>0</v>
      </c>
      <c r="L4438" t="n">
        <v>0</v>
      </c>
      <c r="M4438" t="n">
        <v>0</v>
      </c>
      <c r="N4438" t="n">
        <v>0</v>
      </c>
      <c r="O4438" t="n">
        <v>0</v>
      </c>
      <c r="P4438" t="n">
        <v>0</v>
      </c>
      <c r="Q4438" t="n">
        <v>0</v>
      </c>
      <c r="R4438" s="2" t="inlineStr"/>
    </row>
    <row r="4439" ht="15" customHeight="1">
      <c r="A4439" t="inlineStr">
        <is>
          <t>A 16914-2020</t>
        </is>
      </c>
      <c r="B4439" s="1" t="n">
        <v>43913</v>
      </c>
      <c r="C4439" s="1" t="n">
        <v>45227</v>
      </c>
      <c r="D4439" t="inlineStr">
        <is>
          <t>VÄSTRA GÖTALANDS LÄN</t>
        </is>
      </c>
      <c r="E4439" t="inlineStr">
        <is>
          <t>LILLA EDET</t>
        </is>
      </c>
      <c r="G4439" t="n">
        <v>9.1</v>
      </c>
      <c r="H4439" t="n">
        <v>0</v>
      </c>
      <c r="I4439" t="n">
        <v>0</v>
      </c>
      <c r="J4439" t="n">
        <v>0</v>
      </c>
      <c r="K4439" t="n">
        <v>0</v>
      </c>
      <c r="L4439" t="n">
        <v>0</v>
      </c>
      <c r="M4439" t="n">
        <v>0</v>
      </c>
      <c r="N4439" t="n">
        <v>0</v>
      </c>
      <c r="O4439" t="n">
        <v>0</v>
      </c>
      <c r="P4439" t="n">
        <v>0</v>
      </c>
      <c r="Q4439" t="n">
        <v>0</v>
      </c>
      <c r="R4439" s="2" t="inlineStr"/>
    </row>
    <row r="4440" ht="15" customHeight="1">
      <c r="A4440" t="inlineStr">
        <is>
          <t>A 17209-2020</t>
        </is>
      </c>
      <c r="B4440" s="1" t="n">
        <v>43913</v>
      </c>
      <c r="C4440" s="1" t="n">
        <v>45227</v>
      </c>
      <c r="D4440" t="inlineStr">
        <is>
          <t>VÄSTRA GÖTALANDS LÄN</t>
        </is>
      </c>
      <c r="E4440" t="inlineStr">
        <is>
          <t>BENGTSFORS</t>
        </is>
      </c>
      <c r="G4440" t="n">
        <v>3.8</v>
      </c>
      <c r="H4440" t="n">
        <v>0</v>
      </c>
      <c r="I4440" t="n">
        <v>0</v>
      </c>
      <c r="J4440" t="n">
        <v>0</v>
      </c>
      <c r="K4440" t="n">
        <v>0</v>
      </c>
      <c r="L4440" t="n">
        <v>0</v>
      </c>
      <c r="M4440" t="n">
        <v>0</v>
      </c>
      <c r="N4440" t="n">
        <v>0</v>
      </c>
      <c r="O4440" t="n">
        <v>0</v>
      </c>
      <c r="P4440" t="n">
        <v>0</v>
      </c>
      <c r="Q4440" t="n">
        <v>0</v>
      </c>
      <c r="R4440" s="2" t="inlineStr"/>
    </row>
    <row r="4441" ht="15" customHeight="1">
      <c r="A4441" t="inlineStr">
        <is>
          <t>A 15214-2020</t>
        </is>
      </c>
      <c r="B4441" s="1" t="n">
        <v>43913</v>
      </c>
      <c r="C4441" s="1" t="n">
        <v>45227</v>
      </c>
      <c r="D4441" t="inlineStr">
        <is>
          <t>VÄSTRA GÖTALANDS LÄN</t>
        </is>
      </c>
      <c r="E4441" t="inlineStr">
        <is>
          <t>SKARA</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15226-2020</t>
        </is>
      </c>
      <c r="B4442" s="1" t="n">
        <v>43913</v>
      </c>
      <c r="C4442" s="1" t="n">
        <v>45227</v>
      </c>
      <c r="D4442" t="inlineStr">
        <is>
          <t>VÄSTRA GÖTALANDS LÄN</t>
        </is>
      </c>
      <c r="E4442" t="inlineStr">
        <is>
          <t>TÖREBODA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15234-2020</t>
        </is>
      </c>
      <c r="B4443" s="1" t="n">
        <v>43913</v>
      </c>
      <c r="C4443" s="1" t="n">
        <v>45227</v>
      </c>
      <c r="D4443" t="inlineStr">
        <is>
          <t>VÄSTRA GÖTALANDS LÄN</t>
        </is>
      </c>
      <c r="E4443" t="inlineStr">
        <is>
          <t>HÄRRYDA</t>
        </is>
      </c>
      <c r="F4443" t="inlineStr">
        <is>
          <t>Kommuner</t>
        </is>
      </c>
      <c r="G4443" t="n">
        <v>2.4</v>
      </c>
      <c r="H4443" t="n">
        <v>0</v>
      </c>
      <c r="I4443" t="n">
        <v>0</v>
      </c>
      <c r="J4443" t="n">
        <v>0</v>
      </c>
      <c r="K4443" t="n">
        <v>0</v>
      </c>
      <c r="L4443" t="n">
        <v>0</v>
      </c>
      <c r="M4443" t="n">
        <v>0</v>
      </c>
      <c r="N4443" t="n">
        <v>0</v>
      </c>
      <c r="O4443" t="n">
        <v>0</v>
      </c>
      <c r="P4443" t="n">
        <v>0</v>
      </c>
      <c r="Q4443" t="n">
        <v>0</v>
      </c>
      <c r="R4443" s="2" t="inlineStr"/>
    </row>
    <row r="4444" ht="15" customHeight="1">
      <c r="A4444" t="inlineStr">
        <is>
          <t>A 15265-2020</t>
        </is>
      </c>
      <c r="B4444" s="1" t="n">
        <v>43913</v>
      </c>
      <c r="C4444" s="1" t="n">
        <v>45227</v>
      </c>
      <c r="D4444" t="inlineStr">
        <is>
          <t>VÄSTRA GÖTALANDS LÄN</t>
        </is>
      </c>
      <c r="E4444" t="inlineStr">
        <is>
          <t>HÄRRYDA</t>
        </is>
      </c>
      <c r="F4444" t="inlineStr">
        <is>
          <t>Kommuner</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15386-2020</t>
        </is>
      </c>
      <c r="B4445" s="1" t="n">
        <v>43913</v>
      </c>
      <c r="C4445" s="1" t="n">
        <v>45227</v>
      </c>
      <c r="D4445" t="inlineStr">
        <is>
          <t>VÄSTRA GÖTALANDS LÄN</t>
        </is>
      </c>
      <c r="E4445" t="inlineStr">
        <is>
          <t>BENGTSFORS</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15425-2020</t>
        </is>
      </c>
      <c r="B4446" s="1" t="n">
        <v>43914</v>
      </c>
      <c r="C4446" s="1" t="n">
        <v>45227</v>
      </c>
      <c r="D4446" t="inlineStr">
        <is>
          <t>VÄSTRA GÖTALANDS LÄN</t>
        </is>
      </c>
      <c r="E4446" t="inlineStr">
        <is>
          <t>SVENLJUNGA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15522-2020</t>
        </is>
      </c>
      <c r="B4447" s="1" t="n">
        <v>43914</v>
      </c>
      <c r="C4447" s="1" t="n">
        <v>45227</v>
      </c>
      <c r="D4447" t="inlineStr">
        <is>
          <t>VÄSTRA GÖTALANDS LÄN</t>
        </is>
      </c>
      <c r="E4447" t="inlineStr">
        <is>
          <t>BENGTSFORS</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15601-2020</t>
        </is>
      </c>
      <c r="B4448" s="1" t="n">
        <v>43914</v>
      </c>
      <c r="C4448" s="1" t="n">
        <v>45227</v>
      </c>
      <c r="D4448" t="inlineStr">
        <is>
          <t>VÄSTRA GÖTALANDS LÄN</t>
        </is>
      </c>
      <c r="E4448" t="inlineStr">
        <is>
          <t>FÄRGELANDA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16442-2020</t>
        </is>
      </c>
      <c r="B4449" s="1" t="n">
        <v>43914</v>
      </c>
      <c r="C4449" s="1" t="n">
        <v>45227</v>
      </c>
      <c r="D4449" t="inlineStr">
        <is>
          <t>VÄSTRA GÖTALANDS LÄN</t>
        </is>
      </c>
      <c r="E4449" t="inlineStr">
        <is>
          <t>TANUM</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15558-2020</t>
        </is>
      </c>
      <c r="B4450" s="1" t="n">
        <v>43914</v>
      </c>
      <c r="C4450" s="1" t="n">
        <v>45227</v>
      </c>
      <c r="D4450" t="inlineStr">
        <is>
          <t>VÄSTRA GÖTALANDS LÄN</t>
        </is>
      </c>
      <c r="E4450" t="inlineStr">
        <is>
          <t>SKARA</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15597-2020</t>
        </is>
      </c>
      <c r="B4451" s="1" t="n">
        <v>43914</v>
      </c>
      <c r="C4451" s="1" t="n">
        <v>45227</v>
      </c>
      <c r="D4451" t="inlineStr">
        <is>
          <t>VÄSTRA GÖTALANDS LÄN</t>
        </is>
      </c>
      <c r="E4451" t="inlineStr">
        <is>
          <t>HÄRRYDA</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15603-2020</t>
        </is>
      </c>
      <c r="B4452" s="1" t="n">
        <v>43914</v>
      </c>
      <c r="C4452" s="1" t="n">
        <v>45227</v>
      </c>
      <c r="D4452" t="inlineStr">
        <is>
          <t>VÄSTRA GÖTALANDS LÄN</t>
        </is>
      </c>
      <c r="E4452" t="inlineStr">
        <is>
          <t>MELLERUD</t>
        </is>
      </c>
      <c r="G4452" t="n">
        <v>1.9</v>
      </c>
      <c r="H4452" t="n">
        <v>0</v>
      </c>
      <c r="I4452" t="n">
        <v>0</v>
      </c>
      <c r="J4452" t="n">
        <v>0</v>
      </c>
      <c r="K4452" t="n">
        <v>0</v>
      </c>
      <c r="L4452" t="n">
        <v>0</v>
      </c>
      <c r="M4452" t="n">
        <v>0</v>
      </c>
      <c r="N4452" t="n">
        <v>0</v>
      </c>
      <c r="O4452" t="n">
        <v>0</v>
      </c>
      <c r="P4452" t="n">
        <v>0</v>
      </c>
      <c r="Q4452" t="n">
        <v>0</v>
      </c>
      <c r="R4452" s="2" t="inlineStr"/>
    </row>
    <row r="4453" ht="15" customHeight="1">
      <c r="A4453" t="inlineStr">
        <is>
          <t>A 15621-2020</t>
        </is>
      </c>
      <c r="B4453" s="1" t="n">
        <v>43914</v>
      </c>
      <c r="C4453" s="1" t="n">
        <v>45227</v>
      </c>
      <c r="D4453" t="inlineStr">
        <is>
          <t>VÄSTRA GÖTALANDS LÄN</t>
        </is>
      </c>
      <c r="E4453" t="inlineStr">
        <is>
          <t>MARIESTAD</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15623-2020</t>
        </is>
      </c>
      <c r="B4454" s="1" t="n">
        <v>43914</v>
      </c>
      <c r="C4454" s="1" t="n">
        <v>45227</v>
      </c>
      <c r="D4454" t="inlineStr">
        <is>
          <t>VÄSTRA GÖTALANDS LÄN</t>
        </is>
      </c>
      <c r="E4454" t="inlineStr">
        <is>
          <t>MARIESTAD</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15530-2020</t>
        </is>
      </c>
      <c r="B4455" s="1" t="n">
        <v>43914</v>
      </c>
      <c r="C4455" s="1" t="n">
        <v>45227</v>
      </c>
      <c r="D4455" t="inlineStr">
        <is>
          <t>VÄSTRA GÖTALANDS LÄN</t>
        </is>
      </c>
      <c r="E4455" t="inlineStr">
        <is>
          <t>HJO</t>
        </is>
      </c>
      <c r="F4455" t="inlineStr">
        <is>
          <t>Kyrkan</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15614-2020</t>
        </is>
      </c>
      <c r="B4456" s="1" t="n">
        <v>43914</v>
      </c>
      <c r="C4456" s="1" t="n">
        <v>45227</v>
      </c>
      <c r="D4456" t="inlineStr">
        <is>
          <t>VÄSTRA GÖTALANDS LÄN</t>
        </is>
      </c>
      <c r="E4456" t="inlineStr">
        <is>
          <t>MARIESTAD</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15619-2020</t>
        </is>
      </c>
      <c r="B4457" s="1" t="n">
        <v>43914</v>
      </c>
      <c r="C4457" s="1" t="n">
        <v>45227</v>
      </c>
      <c r="D4457" t="inlineStr">
        <is>
          <t>VÄSTRA GÖTALANDS LÄN</t>
        </is>
      </c>
      <c r="E4457" t="inlineStr">
        <is>
          <t>MARIESTAD</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15758-2020</t>
        </is>
      </c>
      <c r="B4458" s="1" t="n">
        <v>43915</v>
      </c>
      <c r="C4458" s="1" t="n">
        <v>45227</v>
      </c>
      <c r="D4458" t="inlineStr">
        <is>
          <t>VÄSTRA GÖTALANDS LÄN</t>
        </is>
      </c>
      <c r="E4458" t="inlineStr">
        <is>
          <t>BENGTSFORS</t>
        </is>
      </c>
      <c r="G4458" t="n">
        <v>9.199999999999999</v>
      </c>
      <c r="H4458" t="n">
        <v>0</v>
      </c>
      <c r="I4458" t="n">
        <v>0</v>
      </c>
      <c r="J4458" t="n">
        <v>0</v>
      </c>
      <c r="K4458" t="n">
        <v>0</v>
      </c>
      <c r="L4458" t="n">
        <v>0</v>
      </c>
      <c r="M4458" t="n">
        <v>0</v>
      </c>
      <c r="N4458" t="n">
        <v>0</v>
      </c>
      <c r="O4458" t="n">
        <v>0</v>
      </c>
      <c r="P4458" t="n">
        <v>0</v>
      </c>
      <c r="Q4458" t="n">
        <v>0</v>
      </c>
      <c r="R4458" s="2" t="inlineStr"/>
    </row>
    <row r="4459" ht="15" customHeight="1">
      <c r="A4459" t="inlineStr">
        <is>
          <t>A 15798-2020</t>
        </is>
      </c>
      <c r="B4459" s="1" t="n">
        <v>43915</v>
      </c>
      <c r="C4459" s="1" t="n">
        <v>45227</v>
      </c>
      <c r="D4459" t="inlineStr">
        <is>
          <t>VÄSTRA GÖTALANDS LÄN</t>
        </is>
      </c>
      <c r="E4459" t="inlineStr">
        <is>
          <t>BORÅS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15847-2020</t>
        </is>
      </c>
      <c r="B4460" s="1" t="n">
        <v>43915</v>
      </c>
      <c r="C4460" s="1" t="n">
        <v>45227</v>
      </c>
      <c r="D4460" t="inlineStr">
        <is>
          <t>VÄSTRA GÖTALANDS LÄN</t>
        </is>
      </c>
      <c r="E4460" t="inlineStr">
        <is>
          <t>GÖTEBORG</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17160-2020</t>
        </is>
      </c>
      <c r="B4461" s="1" t="n">
        <v>43915</v>
      </c>
      <c r="C4461" s="1" t="n">
        <v>45227</v>
      </c>
      <c r="D4461" t="inlineStr">
        <is>
          <t>VÄSTRA GÖTALANDS LÄN</t>
        </is>
      </c>
      <c r="E4461" t="inlineStr">
        <is>
          <t>LIDKÖPING</t>
        </is>
      </c>
      <c r="F4461" t="inlineStr">
        <is>
          <t>Kommuner</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15655-2020</t>
        </is>
      </c>
      <c r="B4462" s="1" t="n">
        <v>43915</v>
      </c>
      <c r="C4462" s="1" t="n">
        <v>45227</v>
      </c>
      <c r="D4462" t="inlineStr">
        <is>
          <t>VÄSTRA GÖTALANDS LÄN</t>
        </is>
      </c>
      <c r="E4462" t="inlineStr">
        <is>
          <t>SVENLJUNGA</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15686-2020</t>
        </is>
      </c>
      <c r="B4463" s="1" t="n">
        <v>43915</v>
      </c>
      <c r="C4463" s="1" t="n">
        <v>45227</v>
      </c>
      <c r="D4463" t="inlineStr">
        <is>
          <t>VÄSTRA GÖTALANDS LÄN</t>
        </is>
      </c>
      <c r="E4463" t="inlineStr">
        <is>
          <t>SVENLJUNGA</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15807-2020</t>
        </is>
      </c>
      <c r="B4464" s="1" t="n">
        <v>43915</v>
      </c>
      <c r="C4464" s="1" t="n">
        <v>45227</v>
      </c>
      <c r="D4464" t="inlineStr">
        <is>
          <t>VÄSTRA GÖTALANDS LÄN</t>
        </is>
      </c>
      <c r="E4464" t="inlineStr">
        <is>
          <t>LYSEKIL</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15841-2020</t>
        </is>
      </c>
      <c r="B4465" s="1" t="n">
        <v>43915</v>
      </c>
      <c r="C4465" s="1" t="n">
        <v>45227</v>
      </c>
      <c r="D4465" t="inlineStr">
        <is>
          <t>VÄSTRA GÖTALANDS LÄN</t>
        </is>
      </c>
      <c r="E4465" t="inlineStr">
        <is>
          <t>DALS-ED</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15852-2020</t>
        </is>
      </c>
      <c r="B4466" s="1" t="n">
        <v>43915</v>
      </c>
      <c r="C4466" s="1" t="n">
        <v>45227</v>
      </c>
      <c r="D4466" t="inlineStr">
        <is>
          <t>VÄSTRA GÖTALANDS LÄN</t>
        </is>
      </c>
      <c r="E4466" t="inlineStr">
        <is>
          <t>FÄRGELANDA</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15662-2020</t>
        </is>
      </c>
      <c r="B4467" s="1" t="n">
        <v>43915</v>
      </c>
      <c r="C4467" s="1" t="n">
        <v>45227</v>
      </c>
      <c r="D4467" t="inlineStr">
        <is>
          <t>VÄSTRA GÖTALANDS LÄN</t>
        </is>
      </c>
      <c r="E4467" t="inlineStr">
        <is>
          <t>SVENLJUNGA</t>
        </is>
      </c>
      <c r="G4467" t="n">
        <v>10.3</v>
      </c>
      <c r="H4467" t="n">
        <v>0</v>
      </c>
      <c r="I4467" t="n">
        <v>0</v>
      </c>
      <c r="J4467" t="n">
        <v>0</v>
      </c>
      <c r="K4467" t="n">
        <v>0</v>
      </c>
      <c r="L4467" t="n">
        <v>0</v>
      </c>
      <c r="M4467" t="n">
        <v>0</v>
      </c>
      <c r="N4467" t="n">
        <v>0</v>
      </c>
      <c r="O4467" t="n">
        <v>0</v>
      </c>
      <c r="P4467" t="n">
        <v>0</v>
      </c>
      <c r="Q4467" t="n">
        <v>0</v>
      </c>
      <c r="R4467" s="2" t="inlineStr"/>
    </row>
    <row r="4468" ht="15" customHeight="1">
      <c r="A4468" t="inlineStr">
        <is>
          <t>A 15819-2020</t>
        </is>
      </c>
      <c r="B4468" s="1" t="n">
        <v>43915</v>
      </c>
      <c r="C4468" s="1" t="n">
        <v>45227</v>
      </c>
      <c r="D4468" t="inlineStr">
        <is>
          <t>VÄSTRA GÖTALANDS LÄN</t>
        </is>
      </c>
      <c r="E4468" t="inlineStr">
        <is>
          <t>DALS-ED</t>
        </is>
      </c>
      <c r="G4468" t="n">
        <v>10.1</v>
      </c>
      <c r="H4468" t="n">
        <v>0</v>
      </c>
      <c r="I4468" t="n">
        <v>0</v>
      </c>
      <c r="J4468" t="n">
        <v>0</v>
      </c>
      <c r="K4468" t="n">
        <v>0</v>
      </c>
      <c r="L4468" t="n">
        <v>0</v>
      </c>
      <c r="M4468" t="n">
        <v>0</v>
      </c>
      <c r="N4468" t="n">
        <v>0</v>
      </c>
      <c r="O4468" t="n">
        <v>0</v>
      </c>
      <c r="P4468" t="n">
        <v>0</v>
      </c>
      <c r="Q4468" t="n">
        <v>0</v>
      </c>
      <c r="R4468" s="2" t="inlineStr"/>
    </row>
    <row r="4469" ht="15" customHeight="1">
      <c r="A4469" t="inlineStr">
        <is>
          <t>A 15834-2020</t>
        </is>
      </c>
      <c r="B4469" s="1" t="n">
        <v>43915</v>
      </c>
      <c r="C4469" s="1" t="n">
        <v>45227</v>
      </c>
      <c r="D4469" t="inlineStr">
        <is>
          <t>VÄSTRA GÖTALANDS LÄN</t>
        </is>
      </c>
      <c r="E4469" t="inlineStr">
        <is>
          <t>TANUM</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17145-2020</t>
        </is>
      </c>
      <c r="B4470" s="1" t="n">
        <v>43915</v>
      </c>
      <c r="C4470" s="1" t="n">
        <v>45227</v>
      </c>
      <c r="D4470" t="inlineStr">
        <is>
          <t>VÄSTRA GÖTALANDS LÄN</t>
        </is>
      </c>
      <c r="E4470" t="inlineStr">
        <is>
          <t>BORÅS</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15711-2020</t>
        </is>
      </c>
      <c r="B4471" s="1" t="n">
        <v>43915</v>
      </c>
      <c r="C4471" s="1" t="n">
        <v>45227</v>
      </c>
      <c r="D4471" t="inlineStr">
        <is>
          <t>VÄSTRA GÖTALANDS LÄN</t>
        </is>
      </c>
      <c r="E4471" t="inlineStr">
        <is>
          <t>BOLLEBYGD</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15789-2020</t>
        </is>
      </c>
      <c r="B4472" s="1" t="n">
        <v>43915</v>
      </c>
      <c r="C4472" s="1" t="n">
        <v>45227</v>
      </c>
      <c r="D4472" t="inlineStr">
        <is>
          <t>VÄSTRA GÖTALANDS LÄN</t>
        </is>
      </c>
      <c r="E4472" t="inlineStr">
        <is>
          <t>BORÅS</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15827-2020</t>
        </is>
      </c>
      <c r="B4473" s="1" t="n">
        <v>43915</v>
      </c>
      <c r="C4473" s="1" t="n">
        <v>45227</v>
      </c>
      <c r="D4473" t="inlineStr">
        <is>
          <t>VÄSTRA GÖTALANDS LÄN</t>
        </is>
      </c>
      <c r="E4473" t="inlineStr">
        <is>
          <t>DALS-ED</t>
        </is>
      </c>
      <c r="F4473" t="inlineStr">
        <is>
          <t>Kommuner</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15842-2020</t>
        </is>
      </c>
      <c r="B4474" s="1" t="n">
        <v>43915</v>
      </c>
      <c r="C4474" s="1" t="n">
        <v>45227</v>
      </c>
      <c r="D4474" t="inlineStr">
        <is>
          <t>VÄSTRA GÖTALANDS LÄN</t>
        </is>
      </c>
      <c r="E4474" t="inlineStr">
        <is>
          <t>HERRLJUNGA</t>
        </is>
      </c>
      <c r="G4474" t="n">
        <v>0.8</v>
      </c>
      <c r="H4474" t="n">
        <v>0</v>
      </c>
      <c r="I4474" t="n">
        <v>0</v>
      </c>
      <c r="J4474" t="n">
        <v>0</v>
      </c>
      <c r="K4474" t="n">
        <v>0</v>
      </c>
      <c r="L4474" t="n">
        <v>0</v>
      </c>
      <c r="M4474" t="n">
        <v>0</v>
      </c>
      <c r="N4474" t="n">
        <v>0</v>
      </c>
      <c r="O4474" t="n">
        <v>0</v>
      </c>
      <c r="P4474" t="n">
        <v>0</v>
      </c>
      <c r="Q4474" t="n">
        <v>0</v>
      </c>
      <c r="R4474" s="2" t="inlineStr"/>
    </row>
    <row r="4475" ht="15" customHeight="1">
      <c r="A4475" t="inlineStr">
        <is>
          <t>A 16046-2020</t>
        </is>
      </c>
      <c r="B4475" s="1" t="n">
        <v>43916</v>
      </c>
      <c r="C4475" s="1" t="n">
        <v>45227</v>
      </c>
      <c r="D4475" t="inlineStr">
        <is>
          <t>VÄSTRA GÖTALANDS LÄN</t>
        </is>
      </c>
      <c r="E4475" t="inlineStr">
        <is>
          <t>KUNGÄLV</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16065-2020</t>
        </is>
      </c>
      <c r="B4476" s="1" t="n">
        <v>43916</v>
      </c>
      <c r="C4476" s="1" t="n">
        <v>45227</v>
      </c>
      <c r="D4476" t="inlineStr">
        <is>
          <t>VÄSTRA GÖTALANDS LÄN</t>
        </is>
      </c>
      <c r="E4476" t="inlineStr">
        <is>
          <t>MÖLNDAL</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16076-2020</t>
        </is>
      </c>
      <c r="B4477" s="1" t="n">
        <v>43916</v>
      </c>
      <c r="C4477" s="1" t="n">
        <v>45227</v>
      </c>
      <c r="D4477" t="inlineStr">
        <is>
          <t>VÄSTRA GÖTALANDS LÄN</t>
        </is>
      </c>
      <c r="E4477" t="inlineStr">
        <is>
          <t>MARK</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15900-2020</t>
        </is>
      </c>
      <c r="B4478" s="1" t="n">
        <v>43916</v>
      </c>
      <c r="C4478" s="1" t="n">
        <v>45227</v>
      </c>
      <c r="D4478" t="inlineStr">
        <is>
          <t>VÄSTRA GÖTALANDS LÄN</t>
        </is>
      </c>
      <c r="E4478" t="inlineStr">
        <is>
          <t>HERRLJUNGA</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15933-2020</t>
        </is>
      </c>
      <c r="B4479" s="1" t="n">
        <v>43916</v>
      </c>
      <c r="C4479" s="1" t="n">
        <v>45227</v>
      </c>
      <c r="D4479" t="inlineStr">
        <is>
          <t>VÄSTRA GÖTALANDS LÄN</t>
        </is>
      </c>
      <c r="E4479" t="inlineStr">
        <is>
          <t>ULRICEHAMN</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16085-2020</t>
        </is>
      </c>
      <c r="B4480" s="1" t="n">
        <v>43916</v>
      </c>
      <c r="C4480" s="1" t="n">
        <v>45227</v>
      </c>
      <c r="D4480" t="inlineStr">
        <is>
          <t>VÄSTRA GÖTALANDS LÄN</t>
        </is>
      </c>
      <c r="E4480" t="inlineStr">
        <is>
          <t>SKARA</t>
        </is>
      </c>
      <c r="G4480" t="n">
        <v>2.2</v>
      </c>
      <c r="H4480" t="n">
        <v>0</v>
      </c>
      <c r="I4480" t="n">
        <v>0</v>
      </c>
      <c r="J4480" t="n">
        <v>0</v>
      </c>
      <c r="K4480" t="n">
        <v>0</v>
      </c>
      <c r="L4480" t="n">
        <v>0</v>
      </c>
      <c r="M4480" t="n">
        <v>0</v>
      </c>
      <c r="N4480" t="n">
        <v>0</v>
      </c>
      <c r="O4480" t="n">
        <v>0</v>
      </c>
      <c r="P4480" t="n">
        <v>0</v>
      </c>
      <c r="Q4480" t="n">
        <v>0</v>
      </c>
      <c r="R4480" s="2" t="inlineStr"/>
    </row>
    <row r="4481" ht="15" customHeight="1">
      <c r="A4481" t="inlineStr">
        <is>
          <t>A 16123-2020</t>
        </is>
      </c>
      <c r="B4481" s="1" t="n">
        <v>43916</v>
      </c>
      <c r="C4481" s="1" t="n">
        <v>45227</v>
      </c>
      <c r="D4481" t="inlineStr">
        <is>
          <t>VÄSTRA GÖTALANDS LÄN</t>
        </is>
      </c>
      <c r="E4481" t="inlineStr">
        <is>
          <t>TRANEMO</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16150-2020</t>
        </is>
      </c>
      <c r="B4482" s="1" t="n">
        <v>43916</v>
      </c>
      <c r="C4482" s="1" t="n">
        <v>45227</v>
      </c>
      <c r="D4482" t="inlineStr">
        <is>
          <t>VÄSTRA GÖTALANDS LÄN</t>
        </is>
      </c>
      <c r="E4482" t="inlineStr">
        <is>
          <t>ALINGSÅS</t>
        </is>
      </c>
      <c r="G4482" t="n">
        <v>4</v>
      </c>
      <c r="H4482" t="n">
        <v>0</v>
      </c>
      <c r="I4482" t="n">
        <v>0</v>
      </c>
      <c r="J4482" t="n">
        <v>0</v>
      </c>
      <c r="K4482" t="n">
        <v>0</v>
      </c>
      <c r="L4482" t="n">
        <v>0</v>
      </c>
      <c r="M4482" t="n">
        <v>0</v>
      </c>
      <c r="N4482" t="n">
        <v>0</v>
      </c>
      <c r="O4482" t="n">
        <v>0</v>
      </c>
      <c r="P4482" t="n">
        <v>0</v>
      </c>
      <c r="Q4482" t="n">
        <v>0</v>
      </c>
      <c r="R4482" s="2" t="inlineStr"/>
    </row>
    <row r="4483" ht="15" customHeight="1">
      <c r="A4483" t="inlineStr">
        <is>
          <t>A 17266-2020</t>
        </is>
      </c>
      <c r="B4483" s="1" t="n">
        <v>43916</v>
      </c>
      <c r="C4483" s="1" t="n">
        <v>45227</v>
      </c>
      <c r="D4483" t="inlineStr">
        <is>
          <t>VÄSTRA GÖTALANDS LÄN</t>
        </is>
      </c>
      <c r="E4483" t="inlineStr">
        <is>
          <t>HERRLJUNGA</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15954-2020</t>
        </is>
      </c>
      <c r="B4484" s="1" t="n">
        <v>43916</v>
      </c>
      <c r="C4484" s="1" t="n">
        <v>45227</v>
      </c>
      <c r="D4484" t="inlineStr">
        <is>
          <t>VÄSTRA GÖTALANDS LÄN</t>
        </is>
      </c>
      <c r="E4484" t="inlineStr">
        <is>
          <t>FÄRGELANDA</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15999-2020</t>
        </is>
      </c>
      <c r="B4485" s="1" t="n">
        <v>43916</v>
      </c>
      <c r="C4485" s="1" t="n">
        <v>45227</v>
      </c>
      <c r="D4485" t="inlineStr">
        <is>
          <t>VÄSTRA GÖTALANDS LÄN</t>
        </is>
      </c>
      <c r="E4485" t="inlineStr">
        <is>
          <t>HERRLJUNGA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16110-2020</t>
        </is>
      </c>
      <c r="B4486" s="1" t="n">
        <v>43916</v>
      </c>
      <c r="C4486" s="1" t="n">
        <v>45227</v>
      </c>
      <c r="D4486" t="inlineStr">
        <is>
          <t>VÄSTRA GÖTALANDS LÄN</t>
        </is>
      </c>
      <c r="E4486" t="inlineStr">
        <is>
          <t>BOLLEBYGD</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17356-2020</t>
        </is>
      </c>
      <c r="B4487" s="1" t="n">
        <v>43916</v>
      </c>
      <c r="C4487" s="1" t="n">
        <v>45227</v>
      </c>
      <c r="D4487" t="inlineStr">
        <is>
          <t>VÄSTRA GÖTALANDS LÄN</t>
        </is>
      </c>
      <c r="E4487" t="inlineStr">
        <is>
          <t>HERRLJUNGA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17447-2020</t>
        </is>
      </c>
      <c r="B4488" s="1" t="n">
        <v>43917</v>
      </c>
      <c r="C4488" s="1" t="n">
        <v>45227</v>
      </c>
      <c r="D4488" t="inlineStr">
        <is>
          <t>VÄSTRA GÖTALANDS LÄN</t>
        </is>
      </c>
      <c r="E4488" t="inlineStr">
        <is>
          <t>STRÖMSTAD</t>
        </is>
      </c>
      <c r="G4488" t="n">
        <v>1.6</v>
      </c>
      <c r="H4488" t="n">
        <v>0</v>
      </c>
      <c r="I4488" t="n">
        <v>0</v>
      </c>
      <c r="J4488" t="n">
        <v>0</v>
      </c>
      <c r="K4488" t="n">
        <v>0</v>
      </c>
      <c r="L4488" t="n">
        <v>0</v>
      </c>
      <c r="M4488" t="n">
        <v>0</v>
      </c>
      <c r="N4488" t="n">
        <v>0</v>
      </c>
      <c r="O4488" t="n">
        <v>0</v>
      </c>
      <c r="P4488" t="n">
        <v>0</v>
      </c>
      <c r="Q4488" t="n">
        <v>0</v>
      </c>
      <c r="R4488" s="2" t="inlineStr"/>
    </row>
    <row r="4489" ht="15" customHeight="1">
      <c r="A4489" t="inlineStr">
        <is>
          <t>A 16384-2020</t>
        </is>
      </c>
      <c r="B4489" s="1" t="n">
        <v>43917</v>
      </c>
      <c r="C4489" s="1" t="n">
        <v>45227</v>
      </c>
      <c r="D4489" t="inlineStr">
        <is>
          <t>VÄSTRA GÖTALANDS LÄN</t>
        </is>
      </c>
      <c r="E4489" t="inlineStr">
        <is>
          <t>VARA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17411-2020</t>
        </is>
      </c>
      <c r="B4490" s="1" t="n">
        <v>43917</v>
      </c>
      <c r="C4490" s="1" t="n">
        <v>45227</v>
      </c>
      <c r="D4490" t="inlineStr">
        <is>
          <t>VÄSTRA GÖTALANDS LÄN</t>
        </is>
      </c>
      <c r="E4490" t="inlineStr">
        <is>
          <t>LILLA EDET</t>
        </is>
      </c>
      <c r="F4490" t="inlineStr">
        <is>
          <t>Kyrkan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17435-2020</t>
        </is>
      </c>
      <c r="B4491" s="1" t="n">
        <v>43917</v>
      </c>
      <c r="C4491" s="1" t="n">
        <v>45227</v>
      </c>
      <c r="D4491" t="inlineStr">
        <is>
          <t>VÄSTRA GÖTALANDS LÄN</t>
        </is>
      </c>
      <c r="E4491" t="inlineStr">
        <is>
          <t>STRÖMSTAD</t>
        </is>
      </c>
      <c r="G4491" t="n">
        <v>2.5</v>
      </c>
      <c r="H4491" t="n">
        <v>0</v>
      </c>
      <c r="I4491" t="n">
        <v>0</v>
      </c>
      <c r="J4491" t="n">
        <v>0</v>
      </c>
      <c r="K4491" t="n">
        <v>0</v>
      </c>
      <c r="L4491" t="n">
        <v>0</v>
      </c>
      <c r="M4491" t="n">
        <v>0</v>
      </c>
      <c r="N4491" t="n">
        <v>0</v>
      </c>
      <c r="O4491" t="n">
        <v>0</v>
      </c>
      <c r="P4491" t="n">
        <v>0</v>
      </c>
      <c r="Q4491" t="n">
        <v>0</v>
      </c>
      <c r="R4491" s="2" t="inlineStr"/>
    </row>
    <row r="4492" ht="15" customHeight="1">
      <c r="A4492" t="inlineStr">
        <is>
          <t>A 17523-2020</t>
        </is>
      </c>
      <c r="B4492" s="1" t="n">
        <v>43917</v>
      </c>
      <c r="C4492" s="1" t="n">
        <v>45227</v>
      </c>
      <c r="D4492" t="inlineStr">
        <is>
          <t>VÄSTRA GÖTALANDS LÄN</t>
        </is>
      </c>
      <c r="E4492" t="inlineStr">
        <is>
          <t>STRÖMSTAD</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16256-2020</t>
        </is>
      </c>
      <c r="B4493" s="1" t="n">
        <v>43917</v>
      </c>
      <c r="C4493" s="1" t="n">
        <v>45227</v>
      </c>
      <c r="D4493" t="inlineStr">
        <is>
          <t>VÄSTRA GÖTALANDS LÄN</t>
        </is>
      </c>
      <c r="E4493" t="inlineStr">
        <is>
          <t>DALS-ED</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16281-2020</t>
        </is>
      </c>
      <c r="B4494" s="1" t="n">
        <v>43917</v>
      </c>
      <c r="C4494" s="1" t="n">
        <v>45227</v>
      </c>
      <c r="D4494" t="inlineStr">
        <is>
          <t>VÄSTRA GÖTALANDS LÄN</t>
        </is>
      </c>
      <c r="E4494" t="inlineStr">
        <is>
          <t>ÅMÅL</t>
        </is>
      </c>
      <c r="G4494" t="n">
        <v>2.2</v>
      </c>
      <c r="H4494" t="n">
        <v>0</v>
      </c>
      <c r="I4494" t="n">
        <v>0</v>
      </c>
      <c r="J4494" t="n">
        <v>0</v>
      </c>
      <c r="K4494" t="n">
        <v>0</v>
      </c>
      <c r="L4494" t="n">
        <v>0</v>
      </c>
      <c r="M4494" t="n">
        <v>0</v>
      </c>
      <c r="N4494" t="n">
        <v>0</v>
      </c>
      <c r="O4494" t="n">
        <v>0</v>
      </c>
      <c r="P4494" t="n">
        <v>0</v>
      </c>
      <c r="Q4494" t="n">
        <v>0</v>
      </c>
      <c r="R4494" s="2" t="inlineStr"/>
    </row>
    <row r="4495" ht="15" customHeight="1">
      <c r="A4495" t="inlineStr">
        <is>
          <t>A 16413-2020</t>
        </is>
      </c>
      <c r="B4495" s="1" t="n">
        <v>43918</v>
      </c>
      <c r="C4495" s="1" t="n">
        <v>45227</v>
      </c>
      <c r="D4495" t="inlineStr">
        <is>
          <t>VÄSTRA GÖTALANDS LÄN</t>
        </is>
      </c>
      <c r="E4495" t="inlineStr">
        <is>
          <t>BORÅS</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16409-2020</t>
        </is>
      </c>
      <c r="B4496" s="1" t="n">
        <v>43918</v>
      </c>
      <c r="C4496" s="1" t="n">
        <v>45227</v>
      </c>
      <c r="D4496" t="inlineStr">
        <is>
          <t>VÄSTRA GÖTALANDS LÄN</t>
        </is>
      </c>
      <c r="E4496" t="inlineStr">
        <is>
          <t>HERRLJUNGA</t>
        </is>
      </c>
      <c r="G4496" t="n">
        <v>4.3</v>
      </c>
      <c r="H4496" t="n">
        <v>0</v>
      </c>
      <c r="I4496" t="n">
        <v>0</v>
      </c>
      <c r="J4496" t="n">
        <v>0</v>
      </c>
      <c r="K4496" t="n">
        <v>0</v>
      </c>
      <c r="L4496" t="n">
        <v>0</v>
      </c>
      <c r="M4496" t="n">
        <v>0</v>
      </c>
      <c r="N4496" t="n">
        <v>0</v>
      </c>
      <c r="O4496" t="n">
        <v>0</v>
      </c>
      <c r="P4496" t="n">
        <v>0</v>
      </c>
      <c r="Q4496" t="n">
        <v>0</v>
      </c>
      <c r="R4496" s="2" t="inlineStr"/>
    </row>
    <row r="4497" ht="15" customHeight="1">
      <c r="A4497" t="inlineStr">
        <is>
          <t>A 16411-2020</t>
        </is>
      </c>
      <c r="B4497" s="1" t="n">
        <v>43918</v>
      </c>
      <c r="C4497" s="1" t="n">
        <v>45227</v>
      </c>
      <c r="D4497" t="inlineStr">
        <is>
          <t>VÄSTRA GÖTALANDS LÄN</t>
        </is>
      </c>
      <c r="E4497" t="inlineStr">
        <is>
          <t>DALS-ED</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16418-2020</t>
        </is>
      </c>
      <c r="B4498" s="1" t="n">
        <v>43919</v>
      </c>
      <c r="C4498" s="1" t="n">
        <v>45227</v>
      </c>
      <c r="D4498" t="inlineStr">
        <is>
          <t>VÄSTRA GÖTALANDS LÄN</t>
        </is>
      </c>
      <c r="E4498" t="inlineStr">
        <is>
          <t>FALKÖPING</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16426-2020</t>
        </is>
      </c>
      <c r="B4499" s="1" t="n">
        <v>43919</v>
      </c>
      <c r="C4499" s="1" t="n">
        <v>45227</v>
      </c>
      <c r="D4499" t="inlineStr">
        <is>
          <t>VÄSTRA GÖTALANDS LÄN</t>
        </is>
      </c>
      <c r="E4499" t="inlineStr">
        <is>
          <t>LILLA EDET</t>
        </is>
      </c>
      <c r="G4499" t="n">
        <v>2.3</v>
      </c>
      <c r="H4499" t="n">
        <v>0</v>
      </c>
      <c r="I4499" t="n">
        <v>0</v>
      </c>
      <c r="J4499" t="n">
        <v>0</v>
      </c>
      <c r="K4499" t="n">
        <v>0</v>
      </c>
      <c r="L4499" t="n">
        <v>0</v>
      </c>
      <c r="M4499" t="n">
        <v>0</v>
      </c>
      <c r="N4499" t="n">
        <v>0</v>
      </c>
      <c r="O4499" t="n">
        <v>0</v>
      </c>
      <c r="P4499" t="n">
        <v>0</v>
      </c>
      <c r="Q4499" t="n">
        <v>0</v>
      </c>
      <c r="R4499" s="2" t="inlineStr"/>
    </row>
    <row r="4500" ht="15" customHeight="1">
      <c r="A4500" t="inlineStr">
        <is>
          <t>A 16533-2020</t>
        </is>
      </c>
      <c r="B4500" s="1" t="n">
        <v>43920</v>
      </c>
      <c r="C4500" s="1" t="n">
        <v>45227</v>
      </c>
      <c r="D4500" t="inlineStr">
        <is>
          <t>VÄSTRA GÖTALANDS LÄN</t>
        </is>
      </c>
      <c r="E4500" t="inlineStr">
        <is>
          <t>MARK</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16630-2020</t>
        </is>
      </c>
      <c r="B4501" s="1" t="n">
        <v>43920</v>
      </c>
      <c r="C4501" s="1" t="n">
        <v>45227</v>
      </c>
      <c r="D4501" t="inlineStr">
        <is>
          <t>VÄSTRA GÖTALANDS LÄN</t>
        </is>
      </c>
      <c r="E4501" t="inlineStr">
        <is>
          <t>TRANEMO</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16744-2020</t>
        </is>
      </c>
      <c r="B4502" s="1" t="n">
        <v>43920</v>
      </c>
      <c r="C4502" s="1" t="n">
        <v>45227</v>
      </c>
      <c r="D4502" t="inlineStr">
        <is>
          <t>VÄSTRA GÖTALANDS LÄN</t>
        </is>
      </c>
      <c r="E4502" t="inlineStr">
        <is>
          <t>MUNKEDAL</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17497-2020</t>
        </is>
      </c>
      <c r="B4503" s="1" t="n">
        <v>43920</v>
      </c>
      <c r="C4503" s="1" t="n">
        <v>45227</v>
      </c>
      <c r="D4503" t="inlineStr">
        <is>
          <t>VÄSTRA GÖTALANDS LÄN</t>
        </is>
      </c>
      <c r="E4503" t="inlineStr">
        <is>
          <t>ALINGSÅS</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17577-2020</t>
        </is>
      </c>
      <c r="B4504" s="1" t="n">
        <v>43920</v>
      </c>
      <c r="C4504" s="1" t="n">
        <v>45227</v>
      </c>
      <c r="D4504" t="inlineStr">
        <is>
          <t>VÄSTRA GÖTALANDS LÄN</t>
        </is>
      </c>
      <c r="E4504" t="inlineStr">
        <is>
          <t>STRÖMSTAD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16626-2020</t>
        </is>
      </c>
      <c r="B4505" s="1" t="n">
        <v>43920</v>
      </c>
      <c r="C4505" s="1" t="n">
        <v>45227</v>
      </c>
      <c r="D4505" t="inlineStr">
        <is>
          <t>VÄSTRA GÖTALANDS LÄN</t>
        </is>
      </c>
      <c r="E4505" t="inlineStr">
        <is>
          <t>MARIESTAD</t>
        </is>
      </c>
      <c r="F4505" t="inlineStr">
        <is>
          <t>Sveaskog</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16467-2020</t>
        </is>
      </c>
      <c r="B4506" s="1" t="n">
        <v>43920</v>
      </c>
      <c r="C4506" s="1" t="n">
        <v>45227</v>
      </c>
      <c r="D4506" t="inlineStr">
        <is>
          <t>VÄSTRA GÖTALANDS LÄN</t>
        </is>
      </c>
      <c r="E4506" t="inlineStr">
        <is>
          <t>ULRICEHAMN</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16504-2020</t>
        </is>
      </c>
      <c r="B4507" s="1" t="n">
        <v>43920</v>
      </c>
      <c r="C4507" s="1" t="n">
        <v>45227</v>
      </c>
      <c r="D4507" t="inlineStr">
        <is>
          <t>VÄSTRA GÖTALANDS LÄN</t>
        </is>
      </c>
      <c r="E4507" t="inlineStr">
        <is>
          <t>SVENLJUNGA</t>
        </is>
      </c>
      <c r="G4507" t="n">
        <v>3</v>
      </c>
      <c r="H4507" t="n">
        <v>0</v>
      </c>
      <c r="I4507" t="n">
        <v>0</v>
      </c>
      <c r="J4507" t="n">
        <v>0</v>
      </c>
      <c r="K4507" t="n">
        <v>0</v>
      </c>
      <c r="L4507" t="n">
        <v>0</v>
      </c>
      <c r="M4507" t="n">
        <v>0</v>
      </c>
      <c r="N4507" t="n">
        <v>0</v>
      </c>
      <c r="O4507" t="n">
        <v>0</v>
      </c>
      <c r="P4507" t="n">
        <v>0</v>
      </c>
      <c r="Q4507" t="n">
        <v>0</v>
      </c>
      <c r="R4507" s="2" t="inlineStr"/>
    </row>
    <row r="4508" ht="15" customHeight="1">
      <c r="A4508" t="inlineStr">
        <is>
          <t>A 16534-2020</t>
        </is>
      </c>
      <c r="B4508" s="1" t="n">
        <v>43920</v>
      </c>
      <c r="C4508" s="1" t="n">
        <v>45227</v>
      </c>
      <c r="D4508" t="inlineStr">
        <is>
          <t>VÄSTRA GÖTALANDS LÄN</t>
        </is>
      </c>
      <c r="E4508" t="inlineStr">
        <is>
          <t>LIDKÖPING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17502-2020</t>
        </is>
      </c>
      <c r="B4509" s="1" t="n">
        <v>43920</v>
      </c>
      <c r="C4509" s="1" t="n">
        <v>45227</v>
      </c>
      <c r="D4509" t="inlineStr">
        <is>
          <t>VÄSTRA GÖTALANDS LÄN</t>
        </is>
      </c>
      <c r="E4509" t="inlineStr">
        <is>
          <t>MARK</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17540-2020</t>
        </is>
      </c>
      <c r="B4510" s="1" t="n">
        <v>43920</v>
      </c>
      <c r="C4510" s="1" t="n">
        <v>45227</v>
      </c>
      <c r="D4510" t="inlineStr">
        <is>
          <t>VÄSTRA GÖTALANDS LÄN</t>
        </is>
      </c>
      <c r="E4510" t="inlineStr">
        <is>
          <t>LIDKÖPING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17568-2020</t>
        </is>
      </c>
      <c r="B4511" s="1" t="n">
        <v>43920</v>
      </c>
      <c r="C4511" s="1" t="n">
        <v>45227</v>
      </c>
      <c r="D4511" t="inlineStr">
        <is>
          <t>VÄSTRA GÖTALANDS LÄN</t>
        </is>
      </c>
      <c r="E4511" t="inlineStr">
        <is>
          <t>STRÖMSTAD</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16566-2020</t>
        </is>
      </c>
      <c r="B4512" s="1" t="n">
        <v>43920</v>
      </c>
      <c r="C4512" s="1" t="n">
        <v>45227</v>
      </c>
      <c r="D4512" t="inlineStr">
        <is>
          <t>VÄSTRA GÖTALANDS LÄN</t>
        </is>
      </c>
      <c r="E4512" t="inlineStr">
        <is>
          <t>BORÅS</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16726-2020</t>
        </is>
      </c>
      <c r="B4513" s="1" t="n">
        <v>43920</v>
      </c>
      <c r="C4513" s="1" t="n">
        <v>45227</v>
      </c>
      <c r="D4513" t="inlineStr">
        <is>
          <t>VÄSTRA GÖTALANDS LÄN</t>
        </is>
      </c>
      <c r="E4513" t="inlineStr">
        <is>
          <t>MUNKEDAL</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17570-2020</t>
        </is>
      </c>
      <c r="B4514" s="1" t="n">
        <v>43920</v>
      </c>
      <c r="C4514" s="1" t="n">
        <v>45227</v>
      </c>
      <c r="D4514" t="inlineStr">
        <is>
          <t>VÄSTRA GÖTALANDS LÄN</t>
        </is>
      </c>
      <c r="E4514" t="inlineStr">
        <is>
          <t>STRÖMSTAD</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17054-2020</t>
        </is>
      </c>
      <c r="B4515" s="1" t="n">
        <v>43921</v>
      </c>
      <c r="C4515" s="1" t="n">
        <v>45227</v>
      </c>
      <c r="D4515" t="inlineStr">
        <is>
          <t>VÄSTRA GÖTALANDS LÄN</t>
        </is>
      </c>
      <c r="E4515" t="inlineStr">
        <is>
          <t>BENGTSFORS</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17059-2020</t>
        </is>
      </c>
      <c r="B4516" s="1" t="n">
        <v>43921</v>
      </c>
      <c r="C4516" s="1" t="n">
        <v>45227</v>
      </c>
      <c r="D4516" t="inlineStr">
        <is>
          <t>VÄSTRA GÖTALANDS LÄN</t>
        </is>
      </c>
      <c r="E4516" t="inlineStr">
        <is>
          <t>BENGTSFORS</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17066-2020</t>
        </is>
      </c>
      <c r="B4517" s="1" t="n">
        <v>43921</v>
      </c>
      <c r="C4517" s="1" t="n">
        <v>45227</v>
      </c>
      <c r="D4517" t="inlineStr">
        <is>
          <t>VÄSTRA GÖTALANDS LÄN</t>
        </is>
      </c>
      <c r="E4517" t="inlineStr">
        <is>
          <t>BORÅS</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16785-2020</t>
        </is>
      </c>
      <c r="B4518" s="1" t="n">
        <v>43921</v>
      </c>
      <c r="C4518" s="1" t="n">
        <v>45227</v>
      </c>
      <c r="D4518" t="inlineStr">
        <is>
          <t>VÄSTRA GÖTALANDS LÄN</t>
        </is>
      </c>
      <c r="E4518" t="inlineStr">
        <is>
          <t>TIDAHOLM</t>
        </is>
      </c>
      <c r="G4518" t="n">
        <v>4.2</v>
      </c>
      <c r="H4518" t="n">
        <v>0</v>
      </c>
      <c r="I4518" t="n">
        <v>0</v>
      </c>
      <c r="J4518" t="n">
        <v>0</v>
      </c>
      <c r="K4518" t="n">
        <v>0</v>
      </c>
      <c r="L4518" t="n">
        <v>0</v>
      </c>
      <c r="M4518" t="n">
        <v>0</v>
      </c>
      <c r="N4518" t="n">
        <v>0</v>
      </c>
      <c r="O4518" t="n">
        <v>0</v>
      </c>
      <c r="P4518" t="n">
        <v>0</v>
      </c>
      <c r="Q4518" t="n">
        <v>0</v>
      </c>
      <c r="R4518" s="2" t="inlineStr"/>
    </row>
    <row r="4519" ht="15" customHeight="1">
      <c r="A4519" t="inlineStr">
        <is>
          <t>A 16909-2020</t>
        </is>
      </c>
      <c r="B4519" s="1" t="n">
        <v>43921</v>
      </c>
      <c r="C4519" s="1" t="n">
        <v>45227</v>
      </c>
      <c r="D4519" t="inlineStr">
        <is>
          <t>VÄSTRA GÖTALANDS LÄN</t>
        </is>
      </c>
      <c r="E4519" t="inlineStr">
        <is>
          <t>FALKÖPING</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16918-2020</t>
        </is>
      </c>
      <c r="B4520" s="1" t="n">
        <v>43921</v>
      </c>
      <c r="C4520" s="1" t="n">
        <v>45227</v>
      </c>
      <c r="D4520" t="inlineStr">
        <is>
          <t>VÄSTRA GÖTALANDS LÄN</t>
        </is>
      </c>
      <c r="E4520" t="inlineStr">
        <is>
          <t>SKÖVDE</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16837-2020</t>
        </is>
      </c>
      <c r="B4521" s="1" t="n">
        <v>43921</v>
      </c>
      <c r="C4521" s="1" t="n">
        <v>45227</v>
      </c>
      <c r="D4521" t="inlineStr">
        <is>
          <t>VÄSTRA GÖTALANDS LÄN</t>
        </is>
      </c>
      <c r="E4521" t="inlineStr">
        <is>
          <t>MARIESTAD</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16920-2020</t>
        </is>
      </c>
      <c r="B4522" s="1" t="n">
        <v>43921</v>
      </c>
      <c r="C4522" s="1" t="n">
        <v>45227</v>
      </c>
      <c r="D4522" t="inlineStr">
        <is>
          <t>VÄSTRA GÖTALANDS LÄN</t>
        </is>
      </c>
      <c r="E4522" t="inlineStr">
        <is>
          <t>FALKÖPING</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17108-2020</t>
        </is>
      </c>
      <c r="B4523" s="1" t="n">
        <v>43922</v>
      </c>
      <c r="C4523" s="1" t="n">
        <v>45227</v>
      </c>
      <c r="D4523" t="inlineStr">
        <is>
          <t>VÄSTRA GÖTALANDS LÄN</t>
        </is>
      </c>
      <c r="E4523" t="inlineStr">
        <is>
          <t>HJO</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17247-2020</t>
        </is>
      </c>
      <c r="B4524" s="1" t="n">
        <v>43922</v>
      </c>
      <c r="C4524" s="1" t="n">
        <v>45227</v>
      </c>
      <c r="D4524" t="inlineStr">
        <is>
          <t>VÄSTRA GÖTALANDS LÄN</t>
        </is>
      </c>
      <c r="E4524" t="inlineStr">
        <is>
          <t>SVENLJUNGA</t>
        </is>
      </c>
      <c r="G4524" t="n">
        <v>6.6</v>
      </c>
      <c r="H4524" t="n">
        <v>0</v>
      </c>
      <c r="I4524" t="n">
        <v>0</v>
      </c>
      <c r="J4524" t="n">
        <v>0</v>
      </c>
      <c r="K4524" t="n">
        <v>0</v>
      </c>
      <c r="L4524" t="n">
        <v>0</v>
      </c>
      <c r="M4524" t="n">
        <v>0</v>
      </c>
      <c r="N4524" t="n">
        <v>0</v>
      </c>
      <c r="O4524" t="n">
        <v>0</v>
      </c>
      <c r="P4524" t="n">
        <v>0</v>
      </c>
      <c r="Q4524" t="n">
        <v>0</v>
      </c>
      <c r="R4524" s="2" t="inlineStr"/>
    </row>
    <row r="4525" ht="15" customHeight="1">
      <c r="A4525" t="inlineStr">
        <is>
          <t>A 17159-2020</t>
        </is>
      </c>
      <c r="B4525" s="1" t="n">
        <v>43922</v>
      </c>
      <c r="C4525" s="1" t="n">
        <v>45227</v>
      </c>
      <c r="D4525" t="inlineStr">
        <is>
          <t>VÄSTRA GÖTALANDS LÄN</t>
        </is>
      </c>
      <c r="E4525" t="inlineStr">
        <is>
          <t>BOLLEBYGD</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17257-2020</t>
        </is>
      </c>
      <c r="B4526" s="1" t="n">
        <v>43922</v>
      </c>
      <c r="C4526" s="1" t="n">
        <v>45227</v>
      </c>
      <c r="D4526" t="inlineStr">
        <is>
          <t>VÄSTRA GÖTALANDS LÄN</t>
        </is>
      </c>
      <c r="E4526" t="inlineStr">
        <is>
          <t>BORÅS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17321-2020</t>
        </is>
      </c>
      <c r="B4527" s="1" t="n">
        <v>43922</v>
      </c>
      <c r="C4527" s="1" t="n">
        <v>45227</v>
      </c>
      <c r="D4527" t="inlineStr">
        <is>
          <t>VÄSTRA GÖTALANDS LÄN</t>
        </is>
      </c>
      <c r="E4527" t="inlineStr">
        <is>
          <t>ALINGSÅS</t>
        </is>
      </c>
      <c r="G4527" t="n">
        <v>0.7</v>
      </c>
      <c r="H4527" t="n">
        <v>0</v>
      </c>
      <c r="I4527" t="n">
        <v>0</v>
      </c>
      <c r="J4527" t="n">
        <v>0</v>
      </c>
      <c r="K4527" t="n">
        <v>0</v>
      </c>
      <c r="L4527" t="n">
        <v>0</v>
      </c>
      <c r="M4527" t="n">
        <v>0</v>
      </c>
      <c r="N4527" t="n">
        <v>0</v>
      </c>
      <c r="O4527" t="n">
        <v>0</v>
      </c>
      <c r="P4527" t="n">
        <v>0</v>
      </c>
      <c r="Q4527" t="n">
        <v>0</v>
      </c>
      <c r="R4527" s="2" t="inlineStr"/>
    </row>
    <row r="4528" ht="15" customHeight="1">
      <c r="A4528" t="inlineStr">
        <is>
          <t>A 17385-2020</t>
        </is>
      </c>
      <c r="B4528" s="1" t="n">
        <v>43923</v>
      </c>
      <c r="C4528" s="1" t="n">
        <v>45227</v>
      </c>
      <c r="D4528" t="inlineStr">
        <is>
          <t>VÄSTRA GÖTALANDS LÄN</t>
        </is>
      </c>
      <c r="E4528" t="inlineStr">
        <is>
          <t>MARK</t>
        </is>
      </c>
      <c r="G4528" t="n">
        <v>1.6</v>
      </c>
      <c r="H4528" t="n">
        <v>0</v>
      </c>
      <c r="I4528" t="n">
        <v>0</v>
      </c>
      <c r="J4528" t="n">
        <v>0</v>
      </c>
      <c r="K4528" t="n">
        <v>0</v>
      </c>
      <c r="L4528" t="n">
        <v>0</v>
      </c>
      <c r="M4528" t="n">
        <v>0</v>
      </c>
      <c r="N4528" t="n">
        <v>0</v>
      </c>
      <c r="O4528" t="n">
        <v>0</v>
      </c>
      <c r="P4528" t="n">
        <v>0</v>
      </c>
      <c r="Q4528" t="n">
        <v>0</v>
      </c>
      <c r="R4528" s="2" t="inlineStr"/>
    </row>
    <row r="4529" ht="15" customHeight="1">
      <c r="A4529" t="inlineStr">
        <is>
          <t>A 17853-2020</t>
        </is>
      </c>
      <c r="B4529" s="1" t="n">
        <v>43923</v>
      </c>
      <c r="C4529" s="1" t="n">
        <v>45227</v>
      </c>
      <c r="D4529" t="inlineStr">
        <is>
          <t>VÄSTRA GÖTALANDS LÄN</t>
        </is>
      </c>
      <c r="E4529" t="inlineStr">
        <is>
          <t>ÅMÅL</t>
        </is>
      </c>
      <c r="F4529" t="inlineStr">
        <is>
          <t>Bergvik skog väst AB</t>
        </is>
      </c>
      <c r="G4529" t="n">
        <v>3.8</v>
      </c>
      <c r="H4529" t="n">
        <v>0</v>
      </c>
      <c r="I4529" t="n">
        <v>0</v>
      </c>
      <c r="J4529" t="n">
        <v>0</v>
      </c>
      <c r="K4529" t="n">
        <v>0</v>
      </c>
      <c r="L4529" t="n">
        <v>0</v>
      </c>
      <c r="M4529" t="n">
        <v>0</v>
      </c>
      <c r="N4529" t="n">
        <v>0</v>
      </c>
      <c r="O4529" t="n">
        <v>0</v>
      </c>
      <c r="P4529" t="n">
        <v>0</v>
      </c>
      <c r="Q4529" t="n">
        <v>0</v>
      </c>
      <c r="R4529" s="2" t="inlineStr"/>
    </row>
    <row r="4530" ht="15" customHeight="1">
      <c r="A4530" t="inlineStr">
        <is>
          <t>A 17610-2020</t>
        </is>
      </c>
      <c r="B4530" s="1" t="n">
        <v>43923</v>
      </c>
      <c r="C4530" s="1" t="n">
        <v>45227</v>
      </c>
      <c r="D4530" t="inlineStr">
        <is>
          <t>VÄSTRA GÖTALANDS LÄN</t>
        </is>
      </c>
      <c r="E4530" t="inlineStr">
        <is>
          <t>ULRICEHAMN</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17858-2020</t>
        </is>
      </c>
      <c r="B4531" s="1" t="n">
        <v>43923</v>
      </c>
      <c r="C4531" s="1" t="n">
        <v>45227</v>
      </c>
      <c r="D4531" t="inlineStr">
        <is>
          <t>VÄSTRA GÖTALANDS LÄN</t>
        </is>
      </c>
      <c r="E4531" t="inlineStr">
        <is>
          <t>ÅMÅL</t>
        </is>
      </c>
      <c r="F4531" t="inlineStr">
        <is>
          <t>Bergvik skog väst AB</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17537-2020</t>
        </is>
      </c>
      <c r="B4532" s="1" t="n">
        <v>43923</v>
      </c>
      <c r="C4532" s="1" t="n">
        <v>45227</v>
      </c>
      <c r="D4532" t="inlineStr">
        <is>
          <t>VÄSTRA GÖTALANDS LÄN</t>
        </is>
      </c>
      <c r="E4532" t="inlineStr">
        <is>
          <t>DALS-ED</t>
        </is>
      </c>
      <c r="G4532" t="n">
        <v>2.2</v>
      </c>
      <c r="H4532" t="n">
        <v>0</v>
      </c>
      <c r="I4532" t="n">
        <v>0</v>
      </c>
      <c r="J4532" t="n">
        <v>0</v>
      </c>
      <c r="K4532" t="n">
        <v>0</v>
      </c>
      <c r="L4532" t="n">
        <v>0</v>
      </c>
      <c r="M4532" t="n">
        <v>0</v>
      </c>
      <c r="N4532" t="n">
        <v>0</v>
      </c>
      <c r="O4532" t="n">
        <v>0</v>
      </c>
      <c r="P4532" t="n">
        <v>0</v>
      </c>
      <c r="Q4532" t="n">
        <v>0</v>
      </c>
      <c r="R4532" s="2" t="inlineStr"/>
    </row>
    <row r="4533" ht="15" customHeight="1">
      <c r="A4533" t="inlineStr">
        <is>
          <t>A 17657-2020</t>
        </is>
      </c>
      <c r="B4533" s="1" t="n">
        <v>43923</v>
      </c>
      <c r="C4533" s="1" t="n">
        <v>45227</v>
      </c>
      <c r="D4533" t="inlineStr">
        <is>
          <t>VÄSTRA GÖTALANDS LÄN</t>
        </is>
      </c>
      <c r="E4533" t="inlineStr">
        <is>
          <t>LILLA EDET</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17675-2020</t>
        </is>
      </c>
      <c r="B4534" s="1" t="n">
        <v>43923</v>
      </c>
      <c r="C4534" s="1" t="n">
        <v>45227</v>
      </c>
      <c r="D4534" t="inlineStr">
        <is>
          <t>VÄSTRA GÖTALANDS LÄN</t>
        </is>
      </c>
      <c r="E4534" t="inlineStr">
        <is>
          <t>SVENLJUNGA</t>
        </is>
      </c>
      <c r="G4534" t="n">
        <v>10.1</v>
      </c>
      <c r="H4534" t="n">
        <v>0</v>
      </c>
      <c r="I4534" t="n">
        <v>0</v>
      </c>
      <c r="J4534" t="n">
        <v>0</v>
      </c>
      <c r="K4534" t="n">
        <v>0</v>
      </c>
      <c r="L4534" t="n">
        <v>0</v>
      </c>
      <c r="M4534" t="n">
        <v>0</v>
      </c>
      <c r="N4534" t="n">
        <v>0</v>
      </c>
      <c r="O4534" t="n">
        <v>0</v>
      </c>
      <c r="P4534" t="n">
        <v>0</v>
      </c>
      <c r="Q4534" t="n">
        <v>0</v>
      </c>
      <c r="R4534" s="2" t="inlineStr"/>
    </row>
    <row r="4535" ht="15" customHeight="1">
      <c r="A4535" t="inlineStr">
        <is>
          <t>A 17471-2020</t>
        </is>
      </c>
      <c r="B4535" s="1" t="n">
        <v>43923</v>
      </c>
      <c r="C4535" s="1" t="n">
        <v>45227</v>
      </c>
      <c r="D4535" t="inlineStr">
        <is>
          <t>VÄSTRA GÖTALANDS LÄN</t>
        </is>
      </c>
      <c r="E4535" t="inlineStr">
        <is>
          <t>SVENLJUNGA</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17507-2020</t>
        </is>
      </c>
      <c r="B4536" s="1" t="n">
        <v>43923</v>
      </c>
      <c r="C4536" s="1" t="n">
        <v>45227</v>
      </c>
      <c r="D4536" t="inlineStr">
        <is>
          <t>VÄSTRA GÖTALANDS LÄN</t>
        </is>
      </c>
      <c r="E4536" t="inlineStr">
        <is>
          <t>GULLSPÅNG</t>
        </is>
      </c>
      <c r="G4536" t="n">
        <v>1.4</v>
      </c>
      <c r="H4536" t="n">
        <v>0</v>
      </c>
      <c r="I4536" t="n">
        <v>0</v>
      </c>
      <c r="J4536" t="n">
        <v>0</v>
      </c>
      <c r="K4536" t="n">
        <v>0</v>
      </c>
      <c r="L4536" t="n">
        <v>0</v>
      </c>
      <c r="M4536" t="n">
        <v>0</v>
      </c>
      <c r="N4536" t="n">
        <v>0</v>
      </c>
      <c r="O4536" t="n">
        <v>0</v>
      </c>
      <c r="P4536" t="n">
        <v>0</v>
      </c>
      <c r="Q4536" t="n">
        <v>0</v>
      </c>
      <c r="R4536" s="2" t="inlineStr"/>
    </row>
    <row r="4537" ht="15" customHeight="1">
      <c r="A4537" t="inlineStr">
        <is>
          <t>A 17659-2020</t>
        </is>
      </c>
      <c r="B4537" s="1" t="n">
        <v>43923</v>
      </c>
      <c r="C4537" s="1" t="n">
        <v>45227</v>
      </c>
      <c r="D4537" t="inlineStr">
        <is>
          <t>VÄSTRA GÖTALANDS LÄN</t>
        </is>
      </c>
      <c r="E4537" t="inlineStr">
        <is>
          <t>LILLA EDET</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17874-2020</t>
        </is>
      </c>
      <c r="B4538" s="1" t="n">
        <v>43923</v>
      </c>
      <c r="C4538" s="1" t="n">
        <v>45227</v>
      </c>
      <c r="D4538" t="inlineStr">
        <is>
          <t>VÄSTRA GÖTALANDS LÄN</t>
        </is>
      </c>
      <c r="E4538" t="inlineStr">
        <is>
          <t>TANUM</t>
        </is>
      </c>
      <c r="F4538" t="inlineStr">
        <is>
          <t>Kyrkan</t>
        </is>
      </c>
      <c r="G4538" t="n">
        <v>7.2</v>
      </c>
      <c r="H4538" t="n">
        <v>0</v>
      </c>
      <c r="I4538" t="n">
        <v>0</v>
      </c>
      <c r="J4538" t="n">
        <v>0</v>
      </c>
      <c r="K4538" t="n">
        <v>0</v>
      </c>
      <c r="L4538" t="n">
        <v>0</v>
      </c>
      <c r="M4538" t="n">
        <v>0</v>
      </c>
      <c r="N4538" t="n">
        <v>0</v>
      </c>
      <c r="O4538" t="n">
        <v>0</v>
      </c>
      <c r="P4538" t="n">
        <v>0</v>
      </c>
      <c r="Q4538" t="n">
        <v>0</v>
      </c>
      <c r="R4538" s="2" t="inlineStr"/>
    </row>
    <row r="4539" ht="15" customHeight="1">
      <c r="A4539" t="inlineStr">
        <is>
          <t>A 17748-2020</t>
        </is>
      </c>
      <c r="B4539" s="1" t="n">
        <v>43924</v>
      </c>
      <c r="C4539" s="1" t="n">
        <v>45227</v>
      </c>
      <c r="D4539" t="inlineStr">
        <is>
          <t>VÄSTRA GÖTALANDS LÄN</t>
        </is>
      </c>
      <c r="E4539" t="inlineStr">
        <is>
          <t>BENGTSFORS</t>
        </is>
      </c>
      <c r="G4539" t="n">
        <v>3.7</v>
      </c>
      <c r="H4539" t="n">
        <v>0</v>
      </c>
      <c r="I4539" t="n">
        <v>0</v>
      </c>
      <c r="J4539" t="n">
        <v>0</v>
      </c>
      <c r="K4539" t="n">
        <v>0</v>
      </c>
      <c r="L4539" t="n">
        <v>0</v>
      </c>
      <c r="M4539" t="n">
        <v>0</v>
      </c>
      <c r="N4539" t="n">
        <v>0</v>
      </c>
      <c r="O4539" t="n">
        <v>0</v>
      </c>
      <c r="P4539" t="n">
        <v>0</v>
      </c>
      <c r="Q4539" t="n">
        <v>0</v>
      </c>
      <c r="R4539" s="2" t="inlineStr"/>
    </row>
    <row r="4540" ht="15" customHeight="1">
      <c r="A4540" t="inlineStr">
        <is>
          <t>A 17843-2020</t>
        </is>
      </c>
      <c r="B4540" s="1" t="n">
        <v>43924</v>
      </c>
      <c r="C4540" s="1" t="n">
        <v>45227</v>
      </c>
      <c r="D4540" t="inlineStr">
        <is>
          <t>VÄSTRA GÖTALANDS LÄN</t>
        </is>
      </c>
      <c r="E4540" t="inlineStr">
        <is>
          <t>TANUM</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18116-2020</t>
        </is>
      </c>
      <c r="B4541" s="1" t="n">
        <v>43924</v>
      </c>
      <c r="C4541" s="1" t="n">
        <v>45227</v>
      </c>
      <c r="D4541" t="inlineStr">
        <is>
          <t>VÄSTRA GÖTALANDS LÄN</t>
        </is>
      </c>
      <c r="E4541" t="inlineStr">
        <is>
          <t>TÖREBODA</t>
        </is>
      </c>
      <c r="G4541" t="n">
        <v>2.1</v>
      </c>
      <c r="H4541" t="n">
        <v>0</v>
      </c>
      <c r="I4541" t="n">
        <v>0</v>
      </c>
      <c r="J4541" t="n">
        <v>0</v>
      </c>
      <c r="K4541" t="n">
        <v>0</v>
      </c>
      <c r="L4541" t="n">
        <v>0</v>
      </c>
      <c r="M4541" t="n">
        <v>0</v>
      </c>
      <c r="N4541" t="n">
        <v>0</v>
      </c>
      <c r="O4541" t="n">
        <v>0</v>
      </c>
      <c r="P4541" t="n">
        <v>0</v>
      </c>
      <c r="Q4541" t="n">
        <v>0</v>
      </c>
      <c r="R4541" s="2" t="inlineStr"/>
    </row>
    <row r="4542" ht="15" customHeight="1">
      <c r="A4542" t="inlineStr">
        <is>
          <t>A 18161-2020</t>
        </is>
      </c>
      <c r="B4542" s="1" t="n">
        <v>43924</v>
      </c>
      <c r="C4542" s="1" t="n">
        <v>45227</v>
      </c>
      <c r="D4542" t="inlineStr">
        <is>
          <t>VÄSTRA GÖTALANDS LÄN</t>
        </is>
      </c>
      <c r="E4542" t="inlineStr">
        <is>
          <t>MUNKEDAL</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17770-2020</t>
        </is>
      </c>
      <c r="B4543" s="1" t="n">
        <v>43924</v>
      </c>
      <c r="C4543" s="1" t="n">
        <v>45227</v>
      </c>
      <c r="D4543" t="inlineStr">
        <is>
          <t>VÄSTRA GÖTALANDS LÄN</t>
        </is>
      </c>
      <c r="E4543" t="inlineStr">
        <is>
          <t>UDDEVALLA</t>
        </is>
      </c>
      <c r="G4543" t="n">
        <v>10</v>
      </c>
      <c r="H4543" t="n">
        <v>0</v>
      </c>
      <c r="I4543" t="n">
        <v>0</v>
      </c>
      <c r="J4543" t="n">
        <v>0</v>
      </c>
      <c r="K4543" t="n">
        <v>0</v>
      </c>
      <c r="L4543" t="n">
        <v>0</v>
      </c>
      <c r="M4543" t="n">
        <v>0</v>
      </c>
      <c r="N4543" t="n">
        <v>0</v>
      </c>
      <c r="O4543" t="n">
        <v>0</v>
      </c>
      <c r="P4543" t="n">
        <v>0</v>
      </c>
      <c r="Q4543" t="n">
        <v>0</v>
      </c>
      <c r="R4543" s="2" t="inlineStr"/>
    </row>
    <row r="4544" ht="15" customHeight="1">
      <c r="A4544" t="inlineStr">
        <is>
          <t>A 18078-2020</t>
        </is>
      </c>
      <c r="B4544" s="1" t="n">
        <v>43924</v>
      </c>
      <c r="C4544" s="1" t="n">
        <v>45227</v>
      </c>
      <c r="D4544" t="inlineStr">
        <is>
          <t>VÄSTRA GÖTALANDS LÄN</t>
        </is>
      </c>
      <c r="E4544" t="inlineStr">
        <is>
          <t>TÖREBODA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17781-2020</t>
        </is>
      </c>
      <c r="B4545" s="1" t="n">
        <v>43924</v>
      </c>
      <c r="C4545" s="1" t="n">
        <v>45227</v>
      </c>
      <c r="D4545" t="inlineStr">
        <is>
          <t>VÄSTRA GÖTALANDS LÄN</t>
        </is>
      </c>
      <c r="E4545" t="inlineStr">
        <is>
          <t>ÅMÅL</t>
        </is>
      </c>
      <c r="G4545" t="n">
        <v>8.199999999999999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17839-2020</t>
        </is>
      </c>
      <c r="B4546" s="1" t="n">
        <v>43924</v>
      </c>
      <c r="C4546" s="1" t="n">
        <v>45227</v>
      </c>
      <c r="D4546" t="inlineStr">
        <is>
          <t>VÄSTRA GÖTALANDS LÄN</t>
        </is>
      </c>
      <c r="E4546" t="inlineStr">
        <is>
          <t>DALS-ED</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17889-2020</t>
        </is>
      </c>
      <c r="B4547" s="1" t="n">
        <v>43924</v>
      </c>
      <c r="C4547" s="1" t="n">
        <v>45227</v>
      </c>
      <c r="D4547" t="inlineStr">
        <is>
          <t>VÄSTRA GÖTALANDS LÄN</t>
        </is>
      </c>
      <c r="E4547" t="inlineStr">
        <is>
          <t>FÄRGELANDA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18110-2020</t>
        </is>
      </c>
      <c r="B4548" s="1" t="n">
        <v>43924</v>
      </c>
      <c r="C4548" s="1" t="n">
        <v>45227</v>
      </c>
      <c r="D4548" t="inlineStr">
        <is>
          <t>VÄSTRA GÖTALANDS LÄN</t>
        </is>
      </c>
      <c r="E4548" t="inlineStr">
        <is>
          <t>TÖREBODA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17962-2020</t>
        </is>
      </c>
      <c r="B4549" s="1" t="n">
        <v>43925</v>
      </c>
      <c r="C4549" s="1" t="n">
        <v>45227</v>
      </c>
      <c r="D4549" t="inlineStr">
        <is>
          <t>VÄSTRA GÖTALANDS LÄN</t>
        </is>
      </c>
      <c r="E4549" t="inlineStr">
        <is>
          <t>FÄRGELANDA</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17961-2020</t>
        </is>
      </c>
      <c r="B4550" s="1" t="n">
        <v>43925</v>
      </c>
      <c r="C4550" s="1" t="n">
        <v>45227</v>
      </c>
      <c r="D4550" t="inlineStr">
        <is>
          <t>VÄSTRA GÖTALANDS LÄN</t>
        </is>
      </c>
      <c r="E4550" t="inlineStr">
        <is>
          <t>FÄRGELANDA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17979-2020</t>
        </is>
      </c>
      <c r="B4551" s="1" t="n">
        <v>43926</v>
      </c>
      <c r="C4551" s="1" t="n">
        <v>45227</v>
      </c>
      <c r="D4551" t="inlineStr">
        <is>
          <t>VÄSTRA GÖTALANDS LÄN</t>
        </is>
      </c>
      <c r="E4551" t="inlineStr">
        <is>
          <t>ÅMÅL</t>
        </is>
      </c>
      <c r="G4551" t="n">
        <v>3.3</v>
      </c>
      <c r="H4551" t="n">
        <v>0</v>
      </c>
      <c r="I4551" t="n">
        <v>0</v>
      </c>
      <c r="J4551" t="n">
        <v>0</v>
      </c>
      <c r="K4551" t="n">
        <v>0</v>
      </c>
      <c r="L4551" t="n">
        <v>0</v>
      </c>
      <c r="M4551" t="n">
        <v>0</v>
      </c>
      <c r="N4551" t="n">
        <v>0</v>
      </c>
      <c r="O4551" t="n">
        <v>0</v>
      </c>
      <c r="P4551" t="n">
        <v>0</v>
      </c>
      <c r="Q4551" t="n">
        <v>0</v>
      </c>
      <c r="R4551" s="2" t="inlineStr"/>
    </row>
    <row r="4552" ht="15" customHeight="1">
      <c r="A4552" t="inlineStr">
        <is>
          <t>A 18042-2020</t>
        </is>
      </c>
      <c r="B4552" s="1" t="n">
        <v>43927</v>
      </c>
      <c r="C4552" s="1" t="n">
        <v>45227</v>
      </c>
      <c r="D4552" t="inlineStr">
        <is>
          <t>VÄSTRA GÖTALANDS LÄN</t>
        </is>
      </c>
      <c r="E4552" t="inlineStr">
        <is>
          <t>ALINGSÅS</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18199-2020</t>
        </is>
      </c>
      <c r="B4553" s="1" t="n">
        <v>43927</v>
      </c>
      <c r="C4553" s="1" t="n">
        <v>45227</v>
      </c>
      <c r="D4553" t="inlineStr">
        <is>
          <t>VÄSTRA GÖTALANDS LÄN</t>
        </is>
      </c>
      <c r="E4553" t="inlineStr">
        <is>
          <t>MARK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18218-2020</t>
        </is>
      </c>
      <c r="B4554" s="1" t="n">
        <v>43927</v>
      </c>
      <c r="C4554" s="1" t="n">
        <v>45227</v>
      </c>
      <c r="D4554" t="inlineStr">
        <is>
          <t>VÄSTRA GÖTALANDS LÄN</t>
        </is>
      </c>
      <c r="E4554" t="inlineStr">
        <is>
          <t>BOLLEBYGD</t>
        </is>
      </c>
      <c r="G4554" t="n">
        <v>0.1</v>
      </c>
      <c r="H4554" t="n">
        <v>0</v>
      </c>
      <c r="I4554" t="n">
        <v>0</v>
      </c>
      <c r="J4554" t="n">
        <v>0</v>
      </c>
      <c r="K4554" t="n">
        <v>0</v>
      </c>
      <c r="L4554" t="n">
        <v>0</v>
      </c>
      <c r="M4554" t="n">
        <v>0</v>
      </c>
      <c r="N4554" t="n">
        <v>0</v>
      </c>
      <c r="O4554" t="n">
        <v>0</v>
      </c>
      <c r="P4554" t="n">
        <v>0</v>
      </c>
      <c r="Q4554" t="n">
        <v>0</v>
      </c>
      <c r="R4554" s="2" t="inlineStr"/>
    </row>
    <row r="4555" ht="15" customHeight="1">
      <c r="A4555" t="inlineStr">
        <is>
          <t>A 18195-2020</t>
        </is>
      </c>
      <c r="B4555" s="1" t="n">
        <v>43927</v>
      </c>
      <c r="C4555" s="1" t="n">
        <v>45227</v>
      </c>
      <c r="D4555" t="inlineStr">
        <is>
          <t>VÄSTRA GÖTALANDS LÄN</t>
        </is>
      </c>
      <c r="E4555" t="inlineStr">
        <is>
          <t>BORÅS</t>
        </is>
      </c>
      <c r="G4555" t="n">
        <v>5.8</v>
      </c>
      <c r="H4555" t="n">
        <v>0</v>
      </c>
      <c r="I4555" t="n">
        <v>0</v>
      </c>
      <c r="J4555" t="n">
        <v>0</v>
      </c>
      <c r="K4555" t="n">
        <v>0</v>
      </c>
      <c r="L4555" t="n">
        <v>0</v>
      </c>
      <c r="M4555" t="n">
        <v>0</v>
      </c>
      <c r="N4555" t="n">
        <v>0</v>
      </c>
      <c r="O4555" t="n">
        <v>0</v>
      </c>
      <c r="P4555" t="n">
        <v>0</v>
      </c>
      <c r="Q4555" t="n">
        <v>0</v>
      </c>
      <c r="R4555" s="2" t="inlineStr"/>
    </row>
    <row r="4556" ht="15" customHeight="1">
      <c r="A4556" t="inlineStr">
        <is>
          <t>A 18521-2020</t>
        </is>
      </c>
      <c r="B4556" s="1" t="n">
        <v>43927</v>
      </c>
      <c r="C4556" s="1" t="n">
        <v>45227</v>
      </c>
      <c r="D4556" t="inlineStr">
        <is>
          <t>VÄSTRA GÖTALANDS LÄN</t>
        </is>
      </c>
      <c r="E4556" t="inlineStr">
        <is>
          <t>BENGTSFORS</t>
        </is>
      </c>
      <c r="G4556" t="n">
        <v>2.7</v>
      </c>
      <c r="H4556" t="n">
        <v>0</v>
      </c>
      <c r="I4556" t="n">
        <v>0</v>
      </c>
      <c r="J4556" t="n">
        <v>0</v>
      </c>
      <c r="K4556" t="n">
        <v>0</v>
      </c>
      <c r="L4556" t="n">
        <v>0</v>
      </c>
      <c r="M4556" t="n">
        <v>0</v>
      </c>
      <c r="N4556" t="n">
        <v>0</v>
      </c>
      <c r="O4556" t="n">
        <v>0</v>
      </c>
      <c r="P4556" t="n">
        <v>0</v>
      </c>
      <c r="Q4556" t="n">
        <v>0</v>
      </c>
      <c r="R4556" s="2" t="inlineStr"/>
    </row>
    <row r="4557" ht="15" customHeight="1">
      <c r="A4557" t="inlineStr">
        <is>
          <t>A 18001-2020</t>
        </is>
      </c>
      <c r="B4557" s="1" t="n">
        <v>43927</v>
      </c>
      <c r="C4557" s="1" t="n">
        <v>45227</v>
      </c>
      <c r="D4557" t="inlineStr">
        <is>
          <t>VÄSTRA GÖTALANDS LÄN</t>
        </is>
      </c>
      <c r="E4557" t="inlineStr">
        <is>
          <t>ULRICEHAMN</t>
        </is>
      </c>
      <c r="G4557" t="n">
        <v>5.4</v>
      </c>
      <c r="H4557" t="n">
        <v>0</v>
      </c>
      <c r="I4557" t="n">
        <v>0</v>
      </c>
      <c r="J4557" t="n">
        <v>0</v>
      </c>
      <c r="K4557" t="n">
        <v>0</v>
      </c>
      <c r="L4557" t="n">
        <v>0</v>
      </c>
      <c r="M4557" t="n">
        <v>0</v>
      </c>
      <c r="N4557" t="n">
        <v>0</v>
      </c>
      <c r="O4557" t="n">
        <v>0</v>
      </c>
      <c r="P4557" t="n">
        <v>0</v>
      </c>
      <c r="Q4557" t="n">
        <v>0</v>
      </c>
      <c r="R4557" s="2" t="inlineStr"/>
    </row>
    <row r="4558" ht="15" customHeight="1">
      <c r="A4558" t="inlineStr">
        <is>
          <t>A 18152-2020</t>
        </is>
      </c>
      <c r="B4558" s="1" t="n">
        <v>43927</v>
      </c>
      <c r="C4558" s="1" t="n">
        <v>45227</v>
      </c>
      <c r="D4558" t="inlineStr">
        <is>
          <t>VÄSTRA GÖTALANDS LÄN</t>
        </is>
      </c>
      <c r="E4558" t="inlineStr">
        <is>
          <t>DALS-ED</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18280-2020</t>
        </is>
      </c>
      <c r="B4559" s="1" t="n">
        <v>43928</v>
      </c>
      <c r="C4559" s="1" t="n">
        <v>45227</v>
      </c>
      <c r="D4559" t="inlineStr">
        <is>
          <t>VÄSTRA GÖTALANDS LÄN</t>
        </is>
      </c>
      <c r="E4559" t="inlineStr">
        <is>
          <t>LIDKÖPING</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18410-2020</t>
        </is>
      </c>
      <c r="B4560" s="1" t="n">
        <v>43928</v>
      </c>
      <c r="C4560" s="1" t="n">
        <v>45227</v>
      </c>
      <c r="D4560" t="inlineStr">
        <is>
          <t>VÄSTRA GÖTALANDS LÄN</t>
        </is>
      </c>
      <c r="E4560" t="inlineStr">
        <is>
          <t>UDDEVALLA</t>
        </is>
      </c>
      <c r="G4560" t="n">
        <v>8.699999999999999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18317-2020</t>
        </is>
      </c>
      <c r="B4561" s="1" t="n">
        <v>43928</v>
      </c>
      <c r="C4561" s="1" t="n">
        <v>45227</v>
      </c>
      <c r="D4561" t="inlineStr">
        <is>
          <t>VÄSTRA GÖTALANDS LÄN</t>
        </is>
      </c>
      <c r="E4561" t="inlineStr">
        <is>
          <t>ALINGSÅS</t>
        </is>
      </c>
      <c r="G4561" t="n">
        <v>3</v>
      </c>
      <c r="H4561" t="n">
        <v>0</v>
      </c>
      <c r="I4561" t="n">
        <v>0</v>
      </c>
      <c r="J4561" t="n">
        <v>0</v>
      </c>
      <c r="K4561" t="n">
        <v>0</v>
      </c>
      <c r="L4561" t="n">
        <v>0</v>
      </c>
      <c r="M4561" t="n">
        <v>0</v>
      </c>
      <c r="N4561" t="n">
        <v>0</v>
      </c>
      <c r="O4561" t="n">
        <v>0</v>
      </c>
      <c r="P4561" t="n">
        <v>0</v>
      </c>
      <c r="Q4561" t="n">
        <v>0</v>
      </c>
      <c r="R4561" s="2" t="inlineStr"/>
    </row>
    <row r="4562" ht="15" customHeight="1">
      <c r="A4562" t="inlineStr">
        <is>
          <t>A 18353-2020</t>
        </is>
      </c>
      <c r="B4562" s="1" t="n">
        <v>43928</v>
      </c>
      <c r="C4562" s="1" t="n">
        <v>45227</v>
      </c>
      <c r="D4562" t="inlineStr">
        <is>
          <t>VÄSTRA GÖTALANDS LÄN</t>
        </is>
      </c>
      <c r="E4562" t="inlineStr">
        <is>
          <t>MUNKEDAL</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18399-2020</t>
        </is>
      </c>
      <c r="B4563" s="1" t="n">
        <v>43928</v>
      </c>
      <c r="C4563" s="1" t="n">
        <v>45227</v>
      </c>
      <c r="D4563" t="inlineStr">
        <is>
          <t>VÄSTRA GÖTALANDS LÄN</t>
        </is>
      </c>
      <c r="E4563" t="inlineStr">
        <is>
          <t>SKÖVDE</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18485-2020</t>
        </is>
      </c>
      <c r="B4564" s="1" t="n">
        <v>43929</v>
      </c>
      <c r="C4564" s="1" t="n">
        <v>45227</v>
      </c>
      <c r="D4564" t="inlineStr">
        <is>
          <t>VÄSTRA GÖTALANDS LÄN</t>
        </is>
      </c>
      <c r="E4564" t="inlineStr">
        <is>
          <t>LIDKÖPING</t>
        </is>
      </c>
      <c r="G4564" t="n">
        <v>0.4</v>
      </c>
      <c r="H4564" t="n">
        <v>0</v>
      </c>
      <c r="I4564" t="n">
        <v>0</v>
      </c>
      <c r="J4564" t="n">
        <v>0</v>
      </c>
      <c r="K4564" t="n">
        <v>0</v>
      </c>
      <c r="L4564" t="n">
        <v>0</v>
      </c>
      <c r="M4564" t="n">
        <v>0</v>
      </c>
      <c r="N4564" t="n">
        <v>0</v>
      </c>
      <c r="O4564" t="n">
        <v>0</v>
      </c>
      <c r="P4564" t="n">
        <v>0</v>
      </c>
      <c r="Q4564" t="n">
        <v>0</v>
      </c>
      <c r="R4564" s="2" t="inlineStr"/>
    </row>
    <row r="4565" ht="15" customHeight="1">
      <c r="A4565" t="inlineStr">
        <is>
          <t>A 18479-2020</t>
        </is>
      </c>
      <c r="B4565" s="1" t="n">
        <v>43929</v>
      </c>
      <c r="C4565" s="1" t="n">
        <v>45227</v>
      </c>
      <c r="D4565" t="inlineStr">
        <is>
          <t>VÄSTRA GÖTALANDS LÄN</t>
        </is>
      </c>
      <c r="E4565" t="inlineStr">
        <is>
          <t>ULRICEHAMN</t>
        </is>
      </c>
      <c r="G4565" t="n">
        <v>6.7</v>
      </c>
      <c r="H4565" t="n">
        <v>0</v>
      </c>
      <c r="I4565" t="n">
        <v>0</v>
      </c>
      <c r="J4565" t="n">
        <v>0</v>
      </c>
      <c r="K4565" t="n">
        <v>0</v>
      </c>
      <c r="L4565" t="n">
        <v>0</v>
      </c>
      <c r="M4565" t="n">
        <v>0</v>
      </c>
      <c r="N4565" t="n">
        <v>0</v>
      </c>
      <c r="O4565" t="n">
        <v>0</v>
      </c>
      <c r="P4565" t="n">
        <v>0</v>
      </c>
      <c r="Q4565" t="n">
        <v>0</v>
      </c>
      <c r="R4565" s="2" t="inlineStr"/>
    </row>
    <row r="4566" ht="15" customHeight="1">
      <c r="A4566" t="inlineStr">
        <is>
          <t>A 18849-2020</t>
        </is>
      </c>
      <c r="B4566" s="1" t="n">
        <v>43929</v>
      </c>
      <c r="C4566" s="1" t="n">
        <v>45227</v>
      </c>
      <c r="D4566" t="inlineStr">
        <is>
          <t>VÄSTRA GÖTALANDS LÄN</t>
        </is>
      </c>
      <c r="E4566" t="inlineStr">
        <is>
          <t>HÄRRYDA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18564-2020</t>
        </is>
      </c>
      <c r="B4567" s="1" t="n">
        <v>43929</v>
      </c>
      <c r="C4567" s="1" t="n">
        <v>45227</v>
      </c>
      <c r="D4567" t="inlineStr">
        <is>
          <t>VÄSTRA GÖTALANDS LÄN</t>
        </is>
      </c>
      <c r="E4567" t="inlineStr">
        <is>
          <t>GÖTENE</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18847-2020</t>
        </is>
      </c>
      <c r="B4568" s="1" t="n">
        <v>43929</v>
      </c>
      <c r="C4568" s="1" t="n">
        <v>45227</v>
      </c>
      <c r="D4568" t="inlineStr">
        <is>
          <t>VÄSTRA GÖTALANDS LÄN</t>
        </is>
      </c>
      <c r="E4568" t="inlineStr">
        <is>
          <t>HÄRRYDA</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18694-2020</t>
        </is>
      </c>
      <c r="B4569" s="1" t="n">
        <v>43930</v>
      </c>
      <c r="C4569" s="1" t="n">
        <v>45227</v>
      </c>
      <c r="D4569" t="inlineStr">
        <is>
          <t>VÄSTRA GÖTALANDS LÄN</t>
        </is>
      </c>
      <c r="E4569" t="inlineStr">
        <is>
          <t>BORÅS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18623-2020</t>
        </is>
      </c>
      <c r="B4570" s="1" t="n">
        <v>43930</v>
      </c>
      <c r="C4570" s="1" t="n">
        <v>45227</v>
      </c>
      <c r="D4570" t="inlineStr">
        <is>
          <t>VÄSTRA GÖTALANDS LÄN</t>
        </is>
      </c>
      <c r="E4570" t="inlineStr">
        <is>
          <t>MARK</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18745-2020</t>
        </is>
      </c>
      <c r="B4571" s="1" t="n">
        <v>43930</v>
      </c>
      <c r="C4571" s="1" t="n">
        <v>45227</v>
      </c>
      <c r="D4571" t="inlineStr">
        <is>
          <t>VÄSTRA GÖTALANDS LÄN</t>
        </is>
      </c>
      <c r="E4571" t="inlineStr">
        <is>
          <t>TIDAHOLM</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18700-2020</t>
        </is>
      </c>
      <c r="B4572" s="1" t="n">
        <v>43930</v>
      </c>
      <c r="C4572" s="1" t="n">
        <v>45227</v>
      </c>
      <c r="D4572" t="inlineStr">
        <is>
          <t>VÄSTRA GÖTALANDS LÄN</t>
        </is>
      </c>
      <c r="E4572" t="inlineStr">
        <is>
          <t>VARA</t>
        </is>
      </c>
      <c r="F4572" t="inlineStr">
        <is>
          <t>Sveaskog</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18727-2020</t>
        </is>
      </c>
      <c r="B4573" s="1" t="n">
        <v>43930</v>
      </c>
      <c r="C4573" s="1" t="n">
        <v>45227</v>
      </c>
      <c r="D4573" t="inlineStr">
        <is>
          <t>VÄSTRA GÖTALANDS LÄN</t>
        </is>
      </c>
      <c r="E4573" t="inlineStr">
        <is>
          <t>VARA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18750-2020</t>
        </is>
      </c>
      <c r="B4574" s="1" t="n">
        <v>43930</v>
      </c>
      <c r="C4574" s="1" t="n">
        <v>45227</v>
      </c>
      <c r="D4574" t="inlineStr">
        <is>
          <t>VÄSTRA GÖTALANDS LÄN</t>
        </is>
      </c>
      <c r="E4574" t="inlineStr">
        <is>
          <t>LIDKÖPING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18756-2020</t>
        </is>
      </c>
      <c r="B4575" s="1" t="n">
        <v>43930</v>
      </c>
      <c r="C4575" s="1" t="n">
        <v>45227</v>
      </c>
      <c r="D4575" t="inlineStr">
        <is>
          <t>VÄSTRA GÖTALANDS LÄN</t>
        </is>
      </c>
      <c r="E4575" t="inlineStr">
        <is>
          <t>LIDKÖPING</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18685-2020</t>
        </is>
      </c>
      <c r="B4576" s="1" t="n">
        <v>43930</v>
      </c>
      <c r="C4576" s="1" t="n">
        <v>45227</v>
      </c>
      <c r="D4576" t="inlineStr">
        <is>
          <t>VÄSTRA GÖTALANDS LÄN</t>
        </is>
      </c>
      <c r="E4576" t="inlineStr">
        <is>
          <t>GRÄSTORP</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18697-2020</t>
        </is>
      </c>
      <c r="B4577" s="1" t="n">
        <v>43930</v>
      </c>
      <c r="C4577" s="1" t="n">
        <v>45227</v>
      </c>
      <c r="D4577" t="inlineStr">
        <is>
          <t>VÄSTRA GÖTALANDS LÄN</t>
        </is>
      </c>
      <c r="E4577" t="inlineStr">
        <is>
          <t>GRÄSTORP</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18738-2020</t>
        </is>
      </c>
      <c r="B4578" s="1" t="n">
        <v>43930</v>
      </c>
      <c r="C4578" s="1" t="n">
        <v>45227</v>
      </c>
      <c r="D4578" t="inlineStr">
        <is>
          <t>VÄSTRA GÖTALANDS LÄN</t>
        </is>
      </c>
      <c r="E4578" t="inlineStr">
        <is>
          <t>BENGTSFORS</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18752-2020</t>
        </is>
      </c>
      <c r="B4579" s="1" t="n">
        <v>43930</v>
      </c>
      <c r="C4579" s="1" t="n">
        <v>45227</v>
      </c>
      <c r="D4579" t="inlineStr">
        <is>
          <t>VÄSTRA GÖTALANDS LÄN</t>
        </is>
      </c>
      <c r="E4579" t="inlineStr">
        <is>
          <t>LIDKÖPING</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18794-2020</t>
        </is>
      </c>
      <c r="B4580" s="1" t="n">
        <v>43932</v>
      </c>
      <c r="C4580" s="1" t="n">
        <v>45227</v>
      </c>
      <c r="D4580" t="inlineStr">
        <is>
          <t>VÄSTRA GÖTALANDS LÄN</t>
        </is>
      </c>
      <c r="E4580" t="inlineStr">
        <is>
          <t>MUNKEDAL</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18801-2020</t>
        </is>
      </c>
      <c r="B4581" s="1" t="n">
        <v>43933</v>
      </c>
      <c r="C4581" s="1" t="n">
        <v>45227</v>
      </c>
      <c r="D4581" t="inlineStr">
        <is>
          <t>VÄSTRA GÖTALANDS LÄN</t>
        </is>
      </c>
      <c r="E4581" t="inlineStr">
        <is>
          <t>SVENLJUNGA</t>
        </is>
      </c>
      <c r="G4581" t="n">
        <v>0.8</v>
      </c>
      <c r="H4581" t="n">
        <v>0</v>
      </c>
      <c r="I4581" t="n">
        <v>0</v>
      </c>
      <c r="J4581" t="n">
        <v>0</v>
      </c>
      <c r="K4581" t="n">
        <v>0</v>
      </c>
      <c r="L4581" t="n">
        <v>0</v>
      </c>
      <c r="M4581" t="n">
        <v>0</v>
      </c>
      <c r="N4581" t="n">
        <v>0</v>
      </c>
      <c r="O4581" t="n">
        <v>0</v>
      </c>
      <c r="P4581" t="n">
        <v>0</v>
      </c>
      <c r="Q4581" t="n">
        <v>0</v>
      </c>
      <c r="R4581" s="2" t="inlineStr"/>
    </row>
    <row r="4582" ht="15" customHeight="1">
      <c r="A4582" t="inlineStr">
        <is>
          <t>A 18880-2020</t>
        </is>
      </c>
      <c r="B4582" s="1" t="n">
        <v>43935</v>
      </c>
      <c r="C4582" s="1" t="n">
        <v>45227</v>
      </c>
      <c r="D4582" t="inlineStr">
        <is>
          <t>VÄSTRA GÖTALANDS LÄN</t>
        </is>
      </c>
      <c r="E4582" t="inlineStr">
        <is>
          <t>BORÅS</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18940-2020</t>
        </is>
      </c>
      <c r="B4583" s="1" t="n">
        <v>43935</v>
      </c>
      <c r="C4583" s="1" t="n">
        <v>45227</v>
      </c>
      <c r="D4583" t="inlineStr">
        <is>
          <t>VÄSTRA GÖTALANDS LÄN</t>
        </is>
      </c>
      <c r="E4583" t="inlineStr">
        <is>
          <t>GRÄSTORP</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18948-2020</t>
        </is>
      </c>
      <c r="B4584" s="1" t="n">
        <v>43935</v>
      </c>
      <c r="C4584" s="1" t="n">
        <v>45227</v>
      </c>
      <c r="D4584" t="inlineStr">
        <is>
          <t>VÄSTRA GÖTALANDS LÄN</t>
        </is>
      </c>
      <c r="E4584" t="inlineStr">
        <is>
          <t>LIDKÖPING</t>
        </is>
      </c>
      <c r="G4584" t="n">
        <v>1.1</v>
      </c>
      <c r="H4584" t="n">
        <v>0</v>
      </c>
      <c r="I4584" t="n">
        <v>0</v>
      </c>
      <c r="J4584" t="n">
        <v>0</v>
      </c>
      <c r="K4584" t="n">
        <v>0</v>
      </c>
      <c r="L4584" t="n">
        <v>0</v>
      </c>
      <c r="M4584" t="n">
        <v>0</v>
      </c>
      <c r="N4584" t="n">
        <v>0</v>
      </c>
      <c r="O4584" t="n">
        <v>0</v>
      </c>
      <c r="P4584" t="n">
        <v>0</v>
      </c>
      <c r="Q4584" t="n">
        <v>0</v>
      </c>
      <c r="R4584" s="2" t="inlineStr"/>
    </row>
    <row r="4585" ht="15" customHeight="1">
      <c r="A4585" t="inlineStr">
        <is>
          <t>A 18964-2020</t>
        </is>
      </c>
      <c r="B4585" s="1" t="n">
        <v>43935</v>
      </c>
      <c r="C4585" s="1" t="n">
        <v>45227</v>
      </c>
      <c r="D4585" t="inlineStr">
        <is>
          <t>VÄSTRA GÖTALANDS LÄN</t>
        </is>
      </c>
      <c r="E4585" t="inlineStr">
        <is>
          <t>SOTENÄS</t>
        </is>
      </c>
      <c r="G4585" t="n">
        <v>2.6</v>
      </c>
      <c r="H4585" t="n">
        <v>0</v>
      </c>
      <c r="I4585" t="n">
        <v>0</v>
      </c>
      <c r="J4585" t="n">
        <v>0</v>
      </c>
      <c r="K4585" t="n">
        <v>0</v>
      </c>
      <c r="L4585" t="n">
        <v>0</v>
      </c>
      <c r="M4585" t="n">
        <v>0</v>
      </c>
      <c r="N4585" t="n">
        <v>0</v>
      </c>
      <c r="O4585" t="n">
        <v>0</v>
      </c>
      <c r="P4585" t="n">
        <v>0</v>
      </c>
      <c r="Q4585" t="n">
        <v>0</v>
      </c>
      <c r="R4585" s="2" t="inlineStr"/>
    </row>
    <row r="4586" ht="15" customHeight="1">
      <c r="A4586" t="inlineStr">
        <is>
          <t>A 19092-2020</t>
        </is>
      </c>
      <c r="B4586" s="1" t="n">
        <v>43935</v>
      </c>
      <c r="C4586" s="1" t="n">
        <v>45227</v>
      </c>
      <c r="D4586" t="inlineStr">
        <is>
          <t>VÄSTRA GÖTALANDS LÄN</t>
        </is>
      </c>
      <c r="E4586" t="inlineStr">
        <is>
          <t>VÅRGÅRDA</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18932-2020</t>
        </is>
      </c>
      <c r="B4587" s="1" t="n">
        <v>43935</v>
      </c>
      <c r="C4587" s="1" t="n">
        <v>45227</v>
      </c>
      <c r="D4587" t="inlineStr">
        <is>
          <t>VÄSTRA GÖTALANDS LÄN</t>
        </is>
      </c>
      <c r="E4587" t="inlineStr">
        <is>
          <t>LIDKÖPING</t>
        </is>
      </c>
      <c r="G4587" t="n">
        <v>5.5</v>
      </c>
      <c r="H4587" t="n">
        <v>0</v>
      </c>
      <c r="I4587" t="n">
        <v>0</v>
      </c>
      <c r="J4587" t="n">
        <v>0</v>
      </c>
      <c r="K4587" t="n">
        <v>0</v>
      </c>
      <c r="L4587" t="n">
        <v>0</v>
      </c>
      <c r="M4587" t="n">
        <v>0</v>
      </c>
      <c r="N4587" t="n">
        <v>0</v>
      </c>
      <c r="O4587" t="n">
        <v>0</v>
      </c>
      <c r="P4587" t="n">
        <v>0</v>
      </c>
      <c r="Q4587" t="n">
        <v>0</v>
      </c>
      <c r="R4587" s="2" t="inlineStr"/>
    </row>
    <row r="4588" ht="15" customHeight="1">
      <c r="A4588" t="inlineStr">
        <is>
          <t>A 18962-2020</t>
        </is>
      </c>
      <c r="B4588" s="1" t="n">
        <v>43935</v>
      </c>
      <c r="C4588" s="1" t="n">
        <v>45227</v>
      </c>
      <c r="D4588" t="inlineStr">
        <is>
          <t>VÄSTRA GÖTALANDS LÄN</t>
        </is>
      </c>
      <c r="E4588" t="inlineStr">
        <is>
          <t>LIDKÖPING</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18951-2020</t>
        </is>
      </c>
      <c r="B4589" s="1" t="n">
        <v>43935</v>
      </c>
      <c r="C4589" s="1" t="n">
        <v>45227</v>
      </c>
      <c r="D4589" t="inlineStr">
        <is>
          <t>VÄSTRA GÖTALANDS LÄN</t>
        </is>
      </c>
      <c r="E4589" t="inlineStr">
        <is>
          <t>MARIESTAD</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19106-2020</t>
        </is>
      </c>
      <c r="B4590" s="1" t="n">
        <v>43935</v>
      </c>
      <c r="C4590" s="1" t="n">
        <v>45227</v>
      </c>
      <c r="D4590" t="inlineStr">
        <is>
          <t>VÄSTRA GÖTALANDS LÄN</t>
        </is>
      </c>
      <c r="E4590" t="inlineStr">
        <is>
          <t>VARA</t>
        </is>
      </c>
      <c r="G4590" t="n">
        <v>0.9</v>
      </c>
      <c r="H4590" t="n">
        <v>0</v>
      </c>
      <c r="I4590" t="n">
        <v>0</v>
      </c>
      <c r="J4590" t="n">
        <v>0</v>
      </c>
      <c r="K4590" t="n">
        <v>0</v>
      </c>
      <c r="L4590" t="n">
        <v>0</v>
      </c>
      <c r="M4590" t="n">
        <v>0</v>
      </c>
      <c r="N4590" t="n">
        <v>0</v>
      </c>
      <c r="O4590" t="n">
        <v>0</v>
      </c>
      <c r="P4590" t="n">
        <v>0</v>
      </c>
      <c r="Q4590" t="n">
        <v>0</v>
      </c>
      <c r="R4590" s="2" t="inlineStr"/>
    </row>
    <row r="4591" ht="15" customHeight="1">
      <c r="A4591" t="inlineStr">
        <is>
          <t>A 19008-2020</t>
        </is>
      </c>
      <c r="B4591" s="1" t="n">
        <v>43936</v>
      </c>
      <c r="C4591" s="1" t="n">
        <v>45227</v>
      </c>
      <c r="D4591" t="inlineStr">
        <is>
          <t>VÄSTRA GÖTALANDS LÄN</t>
        </is>
      </c>
      <c r="E4591" t="inlineStr">
        <is>
          <t>ALINGSÅS</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19012-2020</t>
        </is>
      </c>
      <c r="B4592" s="1" t="n">
        <v>43936</v>
      </c>
      <c r="C4592" s="1" t="n">
        <v>45227</v>
      </c>
      <c r="D4592" t="inlineStr">
        <is>
          <t>VÄSTRA GÖTALANDS LÄN</t>
        </is>
      </c>
      <c r="E4592" t="inlineStr">
        <is>
          <t>KARLSBORG</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19033-2020</t>
        </is>
      </c>
      <c r="B4593" s="1" t="n">
        <v>43936</v>
      </c>
      <c r="C4593" s="1" t="n">
        <v>45227</v>
      </c>
      <c r="D4593" t="inlineStr">
        <is>
          <t>VÄSTRA GÖTALANDS LÄN</t>
        </is>
      </c>
      <c r="E4593" t="inlineStr">
        <is>
          <t>MÖLNDAL</t>
        </is>
      </c>
      <c r="F4593" t="inlineStr">
        <is>
          <t>Kommuner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19143-2020</t>
        </is>
      </c>
      <c r="B4594" s="1" t="n">
        <v>43936</v>
      </c>
      <c r="C4594" s="1" t="n">
        <v>45227</v>
      </c>
      <c r="D4594" t="inlineStr">
        <is>
          <t>VÄSTRA GÖTALANDS LÄN</t>
        </is>
      </c>
      <c r="E4594" t="inlineStr">
        <is>
          <t>TRANEMO</t>
        </is>
      </c>
      <c r="G4594" t="n">
        <v>3.8</v>
      </c>
      <c r="H4594" t="n">
        <v>0</v>
      </c>
      <c r="I4594" t="n">
        <v>0</v>
      </c>
      <c r="J4594" t="n">
        <v>0</v>
      </c>
      <c r="K4594" t="n">
        <v>0</v>
      </c>
      <c r="L4594" t="n">
        <v>0</v>
      </c>
      <c r="M4594" t="n">
        <v>0</v>
      </c>
      <c r="N4594" t="n">
        <v>0</v>
      </c>
      <c r="O4594" t="n">
        <v>0</v>
      </c>
      <c r="P4594" t="n">
        <v>0</v>
      </c>
      <c r="Q4594" t="n">
        <v>0</v>
      </c>
      <c r="R4594" s="2" t="inlineStr"/>
    </row>
    <row r="4595" ht="15" customHeight="1">
      <c r="A4595" t="inlineStr">
        <is>
          <t>A 19018-2020</t>
        </is>
      </c>
      <c r="B4595" s="1" t="n">
        <v>43936</v>
      </c>
      <c r="C4595" s="1" t="n">
        <v>45227</v>
      </c>
      <c r="D4595" t="inlineStr">
        <is>
          <t>VÄSTRA GÖTALANDS LÄN</t>
        </is>
      </c>
      <c r="E4595" t="inlineStr">
        <is>
          <t>LYSEKIL</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19066-2020</t>
        </is>
      </c>
      <c r="B4596" s="1" t="n">
        <v>43936</v>
      </c>
      <c r="C4596" s="1" t="n">
        <v>45227</v>
      </c>
      <c r="D4596" t="inlineStr">
        <is>
          <t>VÄSTRA GÖTALANDS LÄN</t>
        </is>
      </c>
      <c r="E4596" t="inlineStr">
        <is>
          <t>GÖTEBORG</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19017-2020</t>
        </is>
      </c>
      <c r="B4597" s="1" t="n">
        <v>43936</v>
      </c>
      <c r="C4597" s="1" t="n">
        <v>45227</v>
      </c>
      <c r="D4597" t="inlineStr">
        <is>
          <t>VÄSTRA GÖTALANDS LÄN</t>
        </is>
      </c>
      <c r="E4597" t="inlineStr">
        <is>
          <t>TROLLHÄTTAN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19030-2020</t>
        </is>
      </c>
      <c r="B4598" s="1" t="n">
        <v>43936</v>
      </c>
      <c r="C4598" s="1" t="n">
        <v>45227</v>
      </c>
      <c r="D4598" t="inlineStr">
        <is>
          <t>VÄSTRA GÖTALANDS LÄN</t>
        </is>
      </c>
      <c r="E4598" t="inlineStr">
        <is>
          <t>BENGTSFORS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19132-2020</t>
        </is>
      </c>
      <c r="B4599" s="1" t="n">
        <v>43936</v>
      </c>
      <c r="C4599" s="1" t="n">
        <v>45227</v>
      </c>
      <c r="D4599" t="inlineStr">
        <is>
          <t>VÄSTRA GÖTALANDS LÄN</t>
        </is>
      </c>
      <c r="E4599" t="inlineStr">
        <is>
          <t>DALS-ED</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19248-2020</t>
        </is>
      </c>
      <c r="B4600" s="1" t="n">
        <v>43937</v>
      </c>
      <c r="C4600" s="1" t="n">
        <v>45227</v>
      </c>
      <c r="D4600" t="inlineStr">
        <is>
          <t>VÄSTRA GÖTALANDS LÄN</t>
        </is>
      </c>
      <c r="E4600" t="inlineStr">
        <is>
          <t>HERRLJUNGA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19259-2020</t>
        </is>
      </c>
      <c r="B4601" s="1" t="n">
        <v>43937</v>
      </c>
      <c r="C4601" s="1" t="n">
        <v>45227</v>
      </c>
      <c r="D4601" t="inlineStr">
        <is>
          <t>VÄSTRA GÖTALANDS LÄN</t>
        </is>
      </c>
      <c r="E4601" t="inlineStr">
        <is>
          <t>HERRLJUNGA</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19273-2020</t>
        </is>
      </c>
      <c r="B4602" s="1" t="n">
        <v>43937</v>
      </c>
      <c r="C4602" s="1" t="n">
        <v>45227</v>
      </c>
      <c r="D4602" t="inlineStr">
        <is>
          <t>VÄSTRA GÖTALANDS LÄN</t>
        </is>
      </c>
      <c r="E4602" t="inlineStr">
        <is>
          <t>ÅMÅL</t>
        </is>
      </c>
      <c r="G4602" t="n">
        <v>13.9</v>
      </c>
      <c r="H4602" t="n">
        <v>0</v>
      </c>
      <c r="I4602" t="n">
        <v>0</v>
      </c>
      <c r="J4602" t="n">
        <v>0</v>
      </c>
      <c r="K4602" t="n">
        <v>0</v>
      </c>
      <c r="L4602" t="n">
        <v>0</v>
      </c>
      <c r="M4602" t="n">
        <v>0</v>
      </c>
      <c r="N4602" t="n">
        <v>0</v>
      </c>
      <c r="O4602" t="n">
        <v>0</v>
      </c>
      <c r="P4602" t="n">
        <v>0</v>
      </c>
      <c r="Q4602" t="n">
        <v>0</v>
      </c>
      <c r="R4602" s="2" t="inlineStr"/>
    </row>
    <row r="4603" ht="15" customHeight="1">
      <c r="A4603" t="inlineStr">
        <is>
          <t>A 19283-2020</t>
        </is>
      </c>
      <c r="B4603" s="1" t="n">
        <v>43937</v>
      </c>
      <c r="C4603" s="1" t="n">
        <v>45227</v>
      </c>
      <c r="D4603" t="inlineStr">
        <is>
          <t>VÄSTRA GÖTALANDS LÄN</t>
        </is>
      </c>
      <c r="E4603" t="inlineStr">
        <is>
          <t>SVENLJUNGA</t>
        </is>
      </c>
      <c r="F4603" t="inlineStr">
        <is>
          <t>Sveaskog</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19424-2020</t>
        </is>
      </c>
      <c r="B4604" s="1" t="n">
        <v>43938</v>
      </c>
      <c r="C4604" s="1" t="n">
        <v>45227</v>
      </c>
      <c r="D4604" t="inlineStr">
        <is>
          <t>VÄSTRA GÖTALANDS LÄN</t>
        </is>
      </c>
      <c r="E4604" t="inlineStr">
        <is>
          <t>BENGTSFORS</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19448-2020</t>
        </is>
      </c>
      <c r="B4605" s="1" t="n">
        <v>43938</v>
      </c>
      <c r="C4605" s="1" t="n">
        <v>45227</v>
      </c>
      <c r="D4605" t="inlineStr">
        <is>
          <t>VÄSTRA GÖTALANDS LÄN</t>
        </is>
      </c>
      <c r="E4605" t="inlineStr">
        <is>
          <t>SKÖVDE</t>
        </is>
      </c>
      <c r="F4605" t="inlineStr">
        <is>
          <t>Kyrkan</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19833-2020</t>
        </is>
      </c>
      <c r="B4606" s="1" t="n">
        <v>43938</v>
      </c>
      <c r="C4606" s="1" t="n">
        <v>45227</v>
      </c>
      <c r="D4606" t="inlineStr">
        <is>
          <t>VÄSTRA GÖTALANDS LÄN</t>
        </is>
      </c>
      <c r="E4606" t="inlineStr">
        <is>
          <t>FÄRGELANDA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19429-2020</t>
        </is>
      </c>
      <c r="B4607" s="1" t="n">
        <v>43938</v>
      </c>
      <c r="C4607" s="1" t="n">
        <v>45227</v>
      </c>
      <c r="D4607" t="inlineStr">
        <is>
          <t>VÄSTRA GÖTALANDS LÄN</t>
        </is>
      </c>
      <c r="E4607" t="inlineStr">
        <is>
          <t>BENGTSFORS</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19441-2020</t>
        </is>
      </c>
      <c r="B4608" s="1" t="n">
        <v>43938</v>
      </c>
      <c r="C4608" s="1" t="n">
        <v>45227</v>
      </c>
      <c r="D4608" t="inlineStr">
        <is>
          <t>VÄSTRA GÖTALANDS LÄN</t>
        </is>
      </c>
      <c r="E4608" t="inlineStr">
        <is>
          <t>ALINGSÅS</t>
        </is>
      </c>
      <c r="G4608" t="n">
        <v>2.5</v>
      </c>
      <c r="H4608" t="n">
        <v>0</v>
      </c>
      <c r="I4608" t="n">
        <v>0</v>
      </c>
      <c r="J4608" t="n">
        <v>0</v>
      </c>
      <c r="K4608" t="n">
        <v>0</v>
      </c>
      <c r="L4608" t="n">
        <v>0</v>
      </c>
      <c r="M4608" t="n">
        <v>0</v>
      </c>
      <c r="N4608" t="n">
        <v>0</v>
      </c>
      <c r="O4608" t="n">
        <v>0</v>
      </c>
      <c r="P4608" t="n">
        <v>0</v>
      </c>
      <c r="Q4608" t="n">
        <v>0</v>
      </c>
      <c r="R4608" s="2" t="inlineStr"/>
    </row>
    <row r="4609" ht="15" customHeight="1">
      <c r="A4609" t="inlineStr">
        <is>
          <t>A 19436-2020</t>
        </is>
      </c>
      <c r="B4609" s="1" t="n">
        <v>43938</v>
      </c>
      <c r="C4609" s="1" t="n">
        <v>45227</v>
      </c>
      <c r="D4609" t="inlineStr">
        <is>
          <t>VÄSTRA GÖTALANDS LÄN</t>
        </is>
      </c>
      <c r="E4609" t="inlineStr">
        <is>
          <t>GÖTEBORG</t>
        </is>
      </c>
      <c r="G4609" t="n">
        <v>2.2</v>
      </c>
      <c r="H4609" t="n">
        <v>0</v>
      </c>
      <c r="I4609" t="n">
        <v>0</v>
      </c>
      <c r="J4609" t="n">
        <v>0</v>
      </c>
      <c r="K4609" t="n">
        <v>0</v>
      </c>
      <c r="L4609" t="n">
        <v>0</v>
      </c>
      <c r="M4609" t="n">
        <v>0</v>
      </c>
      <c r="N4609" t="n">
        <v>0</v>
      </c>
      <c r="O4609" t="n">
        <v>0</v>
      </c>
      <c r="P4609" t="n">
        <v>0</v>
      </c>
      <c r="Q4609" t="n">
        <v>0</v>
      </c>
      <c r="R4609" s="2" t="inlineStr"/>
    </row>
    <row r="4610" ht="15" customHeight="1">
      <c r="A4610" t="inlineStr">
        <is>
          <t>A 19718-2020</t>
        </is>
      </c>
      <c r="B4610" s="1" t="n">
        <v>43941</v>
      </c>
      <c r="C4610" s="1" t="n">
        <v>45227</v>
      </c>
      <c r="D4610" t="inlineStr">
        <is>
          <t>VÄSTRA GÖTALANDS LÄN</t>
        </is>
      </c>
      <c r="E4610" t="inlineStr">
        <is>
          <t>LILLA EDET</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19883-2020</t>
        </is>
      </c>
      <c r="B4611" s="1" t="n">
        <v>43941</v>
      </c>
      <c r="C4611" s="1" t="n">
        <v>45227</v>
      </c>
      <c r="D4611" t="inlineStr">
        <is>
          <t>VÄSTRA GÖTALANDS LÄN</t>
        </is>
      </c>
      <c r="E4611" t="inlineStr">
        <is>
          <t>TJÖRN</t>
        </is>
      </c>
      <c r="G4611" t="n">
        <v>2.9</v>
      </c>
      <c r="H4611" t="n">
        <v>0</v>
      </c>
      <c r="I4611" t="n">
        <v>0</v>
      </c>
      <c r="J4611" t="n">
        <v>0</v>
      </c>
      <c r="K4611" t="n">
        <v>0</v>
      </c>
      <c r="L4611" t="n">
        <v>0</v>
      </c>
      <c r="M4611" t="n">
        <v>0</v>
      </c>
      <c r="N4611" t="n">
        <v>0</v>
      </c>
      <c r="O4611" t="n">
        <v>0</v>
      </c>
      <c r="P4611" t="n">
        <v>0</v>
      </c>
      <c r="Q4611" t="n">
        <v>0</v>
      </c>
      <c r="R4611" s="2" t="inlineStr"/>
    </row>
    <row r="4612" ht="15" customHeight="1">
      <c r="A4612" t="inlineStr">
        <is>
          <t>A 19722-2020</t>
        </is>
      </c>
      <c r="B4612" s="1" t="n">
        <v>43941</v>
      </c>
      <c r="C4612" s="1" t="n">
        <v>45227</v>
      </c>
      <c r="D4612" t="inlineStr">
        <is>
          <t>VÄSTRA GÖTALANDS LÄN</t>
        </is>
      </c>
      <c r="E4612" t="inlineStr">
        <is>
          <t>BENGTSFORS</t>
        </is>
      </c>
      <c r="G4612" t="n">
        <v>7.9</v>
      </c>
      <c r="H4612" t="n">
        <v>0</v>
      </c>
      <c r="I4612" t="n">
        <v>0</v>
      </c>
      <c r="J4612" t="n">
        <v>0</v>
      </c>
      <c r="K4612" t="n">
        <v>0</v>
      </c>
      <c r="L4612" t="n">
        <v>0</v>
      </c>
      <c r="M4612" t="n">
        <v>0</v>
      </c>
      <c r="N4612" t="n">
        <v>0</v>
      </c>
      <c r="O4612" t="n">
        <v>0</v>
      </c>
      <c r="P4612" t="n">
        <v>0</v>
      </c>
      <c r="Q4612" t="n">
        <v>0</v>
      </c>
      <c r="R4612" s="2" t="inlineStr"/>
    </row>
    <row r="4613" ht="15" customHeight="1">
      <c r="A4613" t="inlineStr">
        <is>
          <t>A 19800-2020</t>
        </is>
      </c>
      <c r="B4613" s="1" t="n">
        <v>43942</v>
      </c>
      <c r="C4613" s="1" t="n">
        <v>45227</v>
      </c>
      <c r="D4613" t="inlineStr">
        <is>
          <t>VÄSTRA GÖTALANDS LÄN</t>
        </is>
      </c>
      <c r="E4613" t="inlineStr">
        <is>
          <t>MARIESTAD</t>
        </is>
      </c>
      <c r="F4613" t="inlineStr">
        <is>
          <t>Sveaskog</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19884-2020</t>
        </is>
      </c>
      <c r="B4614" s="1" t="n">
        <v>43942</v>
      </c>
      <c r="C4614" s="1" t="n">
        <v>45227</v>
      </c>
      <c r="D4614" t="inlineStr">
        <is>
          <t>VÄSTRA GÖTALANDS LÄN</t>
        </is>
      </c>
      <c r="E4614" t="inlineStr">
        <is>
          <t>TROLLHÄTTAN</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19975-2020</t>
        </is>
      </c>
      <c r="B4615" s="1" t="n">
        <v>43942</v>
      </c>
      <c r="C4615" s="1" t="n">
        <v>45227</v>
      </c>
      <c r="D4615" t="inlineStr">
        <is>
          <t>VÄSTRA GÖTALANDS LÄN</t>
        </is>
      </c>
      <c r="E4615" t="inlineStr">
        <is>
          <t>BORÅS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19811-2020</t>
        </is>
      </c>
      <c r="B4616" s="1" t="n">
        <v>43942</v>
      </c>
      <c r="C4616" s="1" t="n">
        <v>45227</v>
      </c>
      <c r="D4616" t="inlineStr">
        <is>
          <t>VÄSTRA GÖTALANDS LÄN</t>
        </is>
      </c>
      <c r="E4616" t="inlineStr">
        <is>
          <t>FÄRGELANDA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19806-2020</t>
        </is>
      </c>
      <c r="B4617" s="1" t="n">
        <v>43942</v>
      </c>
      <c r="C4617" s="1" t="n">
        <v>45227</v>
      </c>
      <c r="D4617" t="inlineStr">
        <is>
          <t>VÄSTRA GÖTALANDS LÄN</t>
        </is>
      </c>
      <c r="E4617" t="inlineStr">
        <is>
          <t>BOLLEBYGD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20176-2020</t>
        </is>
      </c>
      <c r="B4618" s="1" t="n">
        <v>43944</v>
      </c>
      <c r="C4618" s="1" t="n">
        <v>45227</v>
      </c>
      <c r="D4618" t="inlineStr">
        <is>
          <t>VÄSTRA GÖTALANDS LÄN</t>
        </is>
      </c>
      <c r="E4618" t="inlineStr">
        <is>
          <t>BORÅS</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20209-2020</t>
        </is>
      </c>
      <c r="B4619" s="1" t="n">
        <v>43944</v>
      </c>
      <c r="C4619" s="1" t="n">
        <v>45227</v>
      </c>
      <c r="D4619" t="inlineStr">
        <is>
          <t>VÄSTRA GÖTALANDS LÄN</t>
        </is>
      </c>
      <c r="E4619" t="inlineStr">
        <is>
          <t>GULLSPÅNG</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20214-2020</t>
        </is>
      </c>
      <c r="B4620" s="1" t="n">
        <v>43944</v>
      </c>
      <c r="C4620" s="1" t="n">
        <v>45227</v>
      </c>
      <c r="D4620" t="inlineStr">
        <is>
          <t>VÄSTRA GÖTALANDS LÄN</t>
        </is>
      </c>
      <c r="E4620" t="inlineStr">
        <is>
          <t>HJO</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20101-2020</t>
        </is>
      </c>
      <c r="B4621" s="1" t="n">
        <v>43944</v>
      </c>
      <c r="C4621" s="1" t="n">
        <v>45227</v>
      </c>
      <c r="D4621" t="inlineStr">
        <is>
          <t>VÄSTRA GÖTALANDS LÄN</t>
        </is>
      </c>
      <c r="E4621" t="inlineStr">
        <is>
          <t>ALINGSÅS</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20149-2020</t>
        </is>
      </c>
      <c r="B4622" s="1" t="n">
        <v>43944</v>
      </c>
      <c r="C4622" s="1" t="n">
        <v>45227</v>
      </c>
      <c r="D4622" t="inlineStr">
        <is>
          <t>VÄSTRA GÖTALANDS LÄN</t>
        </is>
      </c>
      <c r="E4622" t="inlineStr">
        <is>
          <t>VÅRGÅRDA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20178-2020</t>
        </is>
      </c>
      <c r="B4623" s="1" t="n">
        <v>43944</v>
      </c>
      <c r="C4623" s="1" t="n">
        <v>45227</v>
      </c>
      <c r="D4623" t="inlineStr">
        <is>
          <t>VÄSTRA GÖTALANDS LÄN</t>
        </is>
      </c>
      <c r="E4623" t="inlineStr">
        <is>
          <t>BENGTSFORS</t>
        </is>
      </c>
      <c r="G4623" t="n">
        <v>17.8</v>
      </c>
      <c r="H4623" t="n">
        <v>0</v>
      </c>
      <c r="I4623" t="n">
        <v>0</v>
      </c>
      <c r="J4623" t="n">
        <v>0</v>
      </c>
      <c r="K4623" t="n">
        <v>0</v>
      </c>
      <c r="L4623" t="n">
        <v>0</v>
      </c>
      <c r="M4623" t="n">
        <v>0</v>
      </c>
      <c r="N4623" t="n">
        <v>0</v>
      </c>
      <c r="O4623" t="n">
        <v>0</v>
      </c>
      <c r="P4623" t="n">
        <v>0</v>
      </c>
      <c r="Q4623" t="n">
        <v>0</v>
      </c>
      <c r="R4623" s="2" t="inlineStr"/>
    </row>
    <row r="4624" ht="15" customHeight="1">
      <c r="A4624" t="inlineStr">
        <is>
          <t>A 20212-2020</t>
        </is>
      </c>
      <c r="B4624" s="1" t="n">
        <v>43944</v>
      </c>
      <c r="C4624" s="1" t="n">
        <v>45227</v>
      </c>
      <c r="D4624" t="inlineStr">
        <is>
          <t>VÄSTRA GÖTALANDS LÄN</t>
        </is>
      </c>
      <c r="E4624" t="inlineStr">
        <is>
          <t>HJO</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20857-2020</t>
        </is>
      </c>
      <c r="B4625" s="1" t="n">
        <v>43944</v>
      </c>
      <c r="C4625" s="1" t="n">
        <v>45227</v>
      </c>
      <c r="D4625" t="inlineStr">
        <is>
          <t>VÄSTRA GÖTALANDS LÄN</t>
        </is>
      </c>
      <c r="E4625" t="inlineStr">
        <is>
          <t>BENGTSFORS</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20210-2020</t>
        </is>
      </c>
      <c r="B4626" s="1" t="n">
        <v>43944</v>
      </c>
      <c r="C4626" s="1" t="n">
        <v>45227</v>
      </c>
      <c r="D4626" t="inlineStr">
        <is>
          <t>VÄSTRA GÖTALANDS LÄN</t>
        </is>
      </c>
      <c r="E4626" t="inlineStr">
        <is>
          <t>GULLSPÅNG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20306-2020</t>
        </is>
      </c>
      <c r="B4627" s="1" t="n">
        <v>43945</v>
      </c>
      <c r="C4627" s="1" t="n">
        <v>45227</v>
      </c>
      <c r="D4627" t="inlineStr">
        <is>
          <t>VÄSTRA GÖTALANDS LÄN</t>
        </is>
      </c>
      <c r="E4627" t="inlineStr">
        <is>
          <t>BOLLEBYGD</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20470-2020</t>
        </is>
      </c>
      <c r="B4628" s="1" t="n">
        <v>43945</v>
      </c>
      <c r="C4628" s="1" t="n">
        <v>45227</v>
      </c>
      <c r="D4628" t="inlineStr">
        <is>
          <t>VÄSTRA GÖTALANDS LÄN</t>
        </is>
      </c>
      <c r="E4628" t="inlineStr">
        <is>
          <t>DALS-ED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20471-2020</t>
        </is>
      </c>
      <c r="B4629" s="1" t="n">
        <v>43945</v>
      </c>
      <c r="C4629" s="1" t="n">
        <v>45227</v>
      </c>
      <c r="D4629" t="inlineStr">
        <is>
          <t>VÄSTRA GÖTALANDS LÄN</t>
        </is>
      </c>
      <c r="E4629" t="inlineStr">
        <is>
          <t>MUNKEDAL</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20265-2020</t>
        </is>
      </c>
      <c r="B4630" s="1" t="n">
        <v>43945</v>
      </c>
      <c r="C4630" s="1" t="n">
        <v>45227</v>
      </c>
      <c r="D4630" t="inlineStr">
        <is>
          <t>VÄSTRA GÖTALANDS LÄN</t>
        </is>
      </c>
      <c r="E4630" t="inlineStr">
        <is>
          <t>DALS-ED</t>
        </is>
      </c>
      <c r="G4630" t="n">
        <v>3.9</v>
      </c>
      <c r="H4630" t="n">
        <v>0</v>
      </c>
      <c r="I4630" t="n">
        <v>0</v>
      </c>
      <c r="J4630" t="n">
        <v>0</v>
      </c>
      <c r="K4630" t="n">
        <v>0</v>
      </c>
      <c r="L4630" t="n">
        <v>0</v>
      </c>
      <c r="M4630" t="n">
        <v>0</v>
      </c>
      <c r="N4630" t="n">
        <v>0</v>
      </c>
      <c r="O4630" t="n">
        <v>0</v>
      </c>
      <c r="P4630" t="n">
        <v>0</v>
      </c>
      <c r="Q4630" t="n">
        <v>0</v>
      </c>
      <c r="R4630" s="2" t="inlineStr"/>
    </row>
    <row r="4631" ht="15" customHeight="1">
      <c r="A4631" t="inlineStr">
        <is>
          <t>A 20349-2020</t>
        </is>
      </c>
      <c r="B4631" s="1" t="n">
        <v>43945</v>
      </c>
      <c r="C4631" s="1" t="n">
        <v>45227</v>
      </c>
      <c r="D4631" t="inlineStr">
        <is>
          <t>VÄSTRA GÖTALANDS LÄN</t>
        </is>
      </c>
      <c r="E4631" t="inlineStr">
        <is>
          <t>VÄNERSBORG</t>
        </is>
      </c>
      <c r="F4631" t="inlineStr">
        <is>
          <t>Sveaskog</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20448-2020</t>
        </is>
      </c>
      <c r="B4632" s="1" t="n">
        <v>43945</v>
      </c>
      <c r="C4632" s="1" t="n">
        <v>45227</v>
      </c>
      <c r="D4632" t="inlineStr">
        <is>
          <t>VÄSTRA GÖTALANDS LÄN</t>
        </is>
      </c>
      <c r="E4632" t="inlineStr">
        <is>
          <t>TANUM</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20446-2020</t>
        </is>
      </c>
      <c r="B4633" s="1" t="n">
        <v>43948</v>
      </c>
      <c r="C4633" s="1" t="n">
        <v>45227</v>
      </c>
      <c r="D4633" t="inlineStr">
        <is>
          <t>VÄSTRA GÖTALANDS LÄN</t>
        </is>
      </c>
      <c r="E4633" t="inlineStr">
        <is>
          <t>TÖREBODA</t>
        </is>
      </c>
      <c r="F4633" t="inlineStr">
        <is>
          <t>Sveaskog</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20488-2020</t>
        </is>
      </c>
      <c r="B4634" s="1" t="n">
        <v>43948</v>
      </c>
      <c r="C4634" s="1" t="n">
        <v>45227</v>
      </c>
      <c r="D4634" t="inlineStr">
        <is>
          <t>VÄSTRA GÖTALANDS LÄN</t>
        </is>
      </c>
      <c r="E4634" t="inlineStr">
        <is>
          <t>TRANEMO</t>
        </is>
      </c>
      <c r="F4634" t="inlineStr">
        <is>
          <t>Kyrkan</t>
        </is>
      </c>
      <c r="G4634" t="n">
        <v>2.6</v>
      </c>
      <c r="H4634" t="n">
        <v>0</v>
      </c>
      <c r="I4634" t="n">
        <v>0</v>
      </c>
      <c r="J4634" t="n">
        <v>0</v>
      </c>
      <c r="K4634" t="n">
        <v>0</v>
      </c>
      <c r="L4634" t="n">
        <v>0</v>
      </c>
      <c r="M4634" t="n">
        <v>0</v>
      </c>
      <c r="N4634" t="n">
        <v>0</v>
      </c>
      <c r="O4634" t="n">
        <v>0</v>
      </c>
      <c r="P4634" t="n">
        <v>0</v>
      </c>
      <c r="Q4634" t="n">
        <v>0</v>
      </c>
      <c r="R4634" s="2" t="inlineStr"/>
    </row>
    <row r="4635" ht="15" customHeight="1">
      <c r="A4635" t="inlineStr">
        <is>
          <t>A 20675-2020</t>
        </is>
      </c>
      <c r="B4635" s="1" t="n">
        <v>43949</v>
      </c>
      <c r="C4635" s="1" t="n">
        <v>45227</v>
      </c>
      <c r="D4635" t="inlineStr">
        <is>
          <t>VÄSTRA GÖTALANDS LÄN</t>
        </is>
      </c>
      <c r="E4635" t="inlineStr">
        <is>
          <t>SVENLJUNGA</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20743-2020</t>
        </is>
      </c>
      <c r="B4636" s="1" t="n">
        <v>43949</v>
      </c>
      <c r="C4636" s="1" t="n">
        <v>45227</v>
      </c>
      <c r="D4636" t="inlineStr">
        <is>
          <t>VÄSTRA GÖTALANDS LÄN</t>
        </is>
      </c>
      <c r="E4636" t="inlineStr">
        <is>
          <t>VÄNERSBORG</t>
        </is>
      </c>
      <c r="G4636" t="n">
        <v>3.4</v>
      </c>
      <c r="H4636" t="n">
        <v>0</v>
      </c>
      <c r="I4636" t="n">
        <v>0</v>
      </c>
      <c r="J4636" t="n">
        <v>0</v>
      </c>
      <c r="K4636" t="n">
        <v>0</v>
      </c>
      <c r="L4636" t="n">
        <v>0</v>
      </c>
      <c r="M4636" t="n">
        <v>0</v>
      </c>
      <c r="N4636" t="n">
        <v>0</v>
      </c>
      <c r="O4636" t="n">
        <v>0</v>
      </c>
      <c r="P4636" t="n">
        <v>0</v>
      </c>
      <c r="Q4636" t="n">
        <v>0</v>
      </c>
      <c r="R4636" s="2" t="inlineStr"/>
    </row>
    <row r="4637" ht="15" customHeight="1">
      <c r="A4637" t="inlineStr">
        <is>
          <t>A 20856-2020</t>
        </is>
      </c>
      <c r="B4637" s="1" t="n">
        <v>43949</v>
      </c>
      <c r="C4637" s="1" t="n">
        <v>45227</v>
      </c>
      <c r="D4637" t="inlineStr">
        <is>
          <t>VÄSTRA GÖTALANDS LÄN</t>
        </is>
      </c>
      <c r="E4637" t="inlineStr">
        <is>
          <t>BENGTSFORS</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21118-2020</t>
        </is>
      </c>
      <c r="B4638" s="1" t="n">
        <v>43949</v>
      </c>
      <c r="C4638" s="1" t="n">
        <v>45227</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20689-2020</t>
        </is>
      </c>
      <c r="B4639" s="1" t="n">
        <v>43949</v>
      </c>
      <c r="C4639" s="1" t="n">
        <v>45227</v>
      </c>
      <c r="D4639" t="inlineStr">
        <is>
          <t>VÄSTRA GÖTALANDS LÄN</t>
        </is>
      </c>
      <c r="E4639" t="inlineStr">
        <is>
          <t>TÖREBODA</t>
        </is>
      </c>
      <c r="G4639" t="n">
        <v>3</v>
      </c>
      <c r="H4639" t="n">
        <v>0</v>
      </c>
      <c r="I4639" t="n">
        <v>0</v>
      </c>
      <c r="J4639" t="n">
        <v>0</v>
      </c>
      <c r="K4639" t="n">
        <v>0</v>
      </c>
      <c r="L4639" t="n">
        <v>0</v>
      </c>
      <c r="M4639" t="n">
        <v>0</v>
      </c>
      <c r="N4639" t="n">
        <v>0</v>
      </c>
      <c r="O4639" t="n">
        <v>0</v>
      </c>
      <c r="P4639" t="n">
        <v>0</v>
      </c>
      <c r="Q4639" t="n">
        <v>0</v>
      </c>
      <c r="R4639" s="2" t="inlineStr"/>
    </row>
    <row r="4640" ht="15" customHeight="1">
      <c r="A4640" t="inlineStr">
        <is>
          <t>A 20698-2020</t>
        </is>
      </c>
      <c r="B4640" s="1" t="n">
        <v>43949</v>
      </c>
      <c r="C4640" s="1" t="n">
        <v>45227</v>
      </c>
      <c r="D4640" t="inlineStr">
        <is>
          <t>VÄSTRA GÖTALANDS LÄN</t>
        </is>
      </c>
      <c r="E4640" t="inlineStr">
        <is>
          <t>LERUM</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20803-2020</t>
        </is>
      </c>
      <c r="B4641" s="1" t="n">
        <v>43949</v>
      </c>
      <c r="C4641" s="1" t="n">
        <v>45227</v>
      </c>
      <c r="D4641" t="inlineStr">
        <is>
          <t>VÄSTRA GÖTALANDS LÄN</t>
        </is>
      </c>
      <c r="E4641" t="inlineStr">
        <is>
          <t>BENGTSFORS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20634-2020</t>
        </is>
      </c>
      <c r="B4642" s="1" t="n">
        <v>43949</v>
      </c>
      <c r="C4642" s="1" t="n">
        <v>45227</v>
      </c>
      <c r="D4642" t="inlineStr">
        <is>
          <t>VÄSTRA GÖTALANDS LÄN</t>
        </is>
      </c>
      <c r="E4642" t="inlineStr">
        <is>
          <t>FÄRGELANDA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20759-2020</t>
        </is>
      </c>
      <c r="B4643" s="1" t="n">
        <v>43949</v>
      </c>
      <c r="C4643" s="1" t="n">
        <v>45227</v>
      </c>
      <c r="D4643" t="inlineStr">
        <is>
          <t>VÄSTRA GÖTALANDS LÄN</t>
        </is>
      </c>
      <c r="E4643" t="inlineStr">
        <is>
          <t>GULLSPÅNG</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20980-2020</t>
        </is>
      </c>
      <c r="B4644" s="1" t="n">
        <v>43950</v>
      </c>
      <c r="C4644" s="1" t="n">
        <v>45227</v>
      </c>
      <c r="D4644" t="inlineStr">
        <is>
          <t>VÄSTRA GÖTALANDS LÄN</t>
        </is>
      </c>
      <c r="E4644" t="inlineStr">
        <is>
          <t>ALINGSÅS</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20994-2020</t>
        </is>
      </c>
      <c r="B4645" s="1" t="n">
        <v>43950</v>
      </c>
      <c r="C4645" s="1" t="n">
        <v>45227</v>
      </c>
      <c r="D4645" t="inlineStr">
        <is>
          <t>VÄSTRA GÖTALANDS LÄN</t>
        </is>
      </c>
      <c r="E4645" t="inlineStr">
        <is>
          <t>LILLA EDET</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20992-2020</t>
        </is>
      </c>
      <c r="B4646" s="1" t="n">
        <v>43950</v>
      </c>
      <c r="C4646" s="1" t="n">
        <v>45227</v>
      </c>
      <c r="D4646" t="inlineStr">
        <is>
          <t>VÄSTRA GÖTALANDS LÄN</t>
        </is>
      </c>
      <c r="E4646" t="inlineStr">
        <is>
          <t>LILLA EDET</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20882-2020</t>
        </is>
      </c>
      <c r="B4647" s="1" t="n">
        <v>43950</v>
      </c>
      <c r="C4647" s="1" t="n">
        <v>45227</v>
      </c>
      <c r="D4647" t="inlineStr">
        <is>
          <t>VÄSTRA GÖTALANDS LÄN</t>
        </is>
      </c>
      <c r="E4647" t="inlineStr">
        <is>
          <t>DALS-ED</t>
        </is>
      </c>
      <c r="G4647" t="n">
        <v>10.2</v>
      </c>
      <c r="H4647" t="n">
        <v>0</v>
      </c>
      <c r="I4647" t="n">
        <v>0</v>
      </c>
      <c r="J4647" t="n">
        <v>0</v>
      </c>
      <c r="K4647" t="n">
        <v>0</v>
      </c>
      <c r="L4647" t="n">
        <v>0</v>
      </c>
      <c r="M4647" t="n">
        <v>0</v>
      </c>
      <c r="N4647" t="n">
        <v>0</v>
      </c>
      <c r="O4647" t="n">
        <v>0</v>
      </c>
      <c r="P4647" t="n">
        <v>0</v>
      </c>
      <c r="Q4647" t="n">
        <v>0</v>
      </c>
      <c r="R4647" s="2" t="inlineStr"/>
    </row>
    <row r="4648" ht="15" customHeight="1">
      <c r="A4648" t="inlineStr">
        <is>
          <t>A 20902-2020</t>
        </is>
      </c>
      <c r="B4648" s="1" t="n">
        <v>43950</v>
      </c>
      <c r="C4648" s="1" t="n">
        <v>45227</v>
      </c>
      <c r="D4648" t="inlineStr">
        <is>
          <t>VÄSTRA GÖTALANDS LÄN</t>
        </is>
      </c>
      <c r="E4648" t="inlineStr">
        <is>
          <t>STRÖMSTAD</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21073-2020</t>
        </is>
      </c>
      <c r="B4649" s="1" t="n">
        <v>43951</v>
      </c>
      <c r="C4649" s="1" t="n">
        <v>45227</v>
      </c>
      <c r="D4649" t="inlineStr">
        <is>
          <t>VÄSTRA GÖTALANDS LÄN</t>
        </is>
      </c>
      <c r="E4649" t="inlineStr">
        <is>
          <t>STRÖMSTAD</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21077-2020</t>
        </is>
      </c>
      <c r="B4650" s="1" t="n">
        <v>43951</v>
      </c>
      <c r="C4650" s="1" t="n">
        <v>45227</v>
      </c>
      <c r="D4650" t="inlineStr">
        <is>
          <t>VÄSTRA GÖTALANDS LÄN</t>
        </is>
      </c>
      <c r="E4650" t="inlineStr">
        <is>
          <t>ALE</t>
        </is>
      </c>
      <c r="G4650" t="n">
        <v>4.4</v>
      </c>
      <c r="H4650" t="n">
        <v>0</v>
      </c>
      <c r="I4650" t="n">
        <v>0</v>
      </c>
      <c r="J4650" t="n">
        <v>0</v>
      </c>
      <c r="K4650" t="n">
        <v>0</v>
      </c>
      <c r="L4650" t="n">
        <v>0</v>
      </c>
      <c r="M4650" t="n">
        <v>0</v>
      </c>
      <c r="N4650" t="n">
        <v>0</v>
      </c>
      <c r="O4650" t="n">
        <v>0</v>
      </c>
      <c r="P4650" t="n">
        <v>0</v>
      </c>
      <c r="Q4650" t="n">
        <v>0</v>
      </c>
      <c r="R4650" s="2" t="inlineStr"/>
    </row>
    <row r="4651" ht="15" customHeight="1">
      <c r="A4651" t="inlineStr">
        <is>
          <t>A 21147-2020</t>
        </is>
      </c>
      <c r="B4651" s="1" t="n">
        <v>43951</v>
      </c>
      <c r="C4651" s="1" t="n">
        <v>45227</v>
      </c>
      <c r="D4651" t="inlineStr">
        <is>
          <t>VÄSTRA GÖTALANDS LÄN</t>
        </is>
      </c>
      <c r="E4651" t="inlineStr">
        <is>
          <t>KARLSBORG</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21069-2020</t>
        </is>
      </c>
      <c r="B4652" s="1" t="n">
        <v>43951</v>
      </c>
      <c r="C4652" s="1" t="n">
        <v>45227</v>
      </c>
      <c r="D4652" t="inlineStr">
        <is>
          <t>VÄSTRA GÖTALANDS LÄN</t>
        </is>
      </c>
      <c r="E4652" t="inlineStr">
        <is>
          <t>HERRLJUNGA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21232-2020</t>
        </is>
      </c>
      <c r="B4653" s="1" t="n">
        <v>43952</v>
      </c>
      <c r="C4653" s="1" t="n">
        <v>45227</v>
      </c>
      <c r="D4653" t="inlineStr">
        <is>
          <t>VÄSTRA GÖTALANDS LÄN</t>
        </is>
      </c>
      <c r="E4653" t="inlineStr">
        <is>
          <t>LIDKÖPING</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21330-2020</t>
        </is>
      </c>
      <c r="B4654" s="1" t="n">
        <v>43955</v>
      </c>
      <c r="C4654" s="1" t="n">
        <v>45227</v>
      </c>
      <c r="D4654" t="inlineStr">
        <is>
          <t>VÄSTRA GÖTALANDS LÄN</t>
        </is>
      </c>
      <c r="E4654" t="inlineStr">
        <is>
          <t>SVENLJUNGA</t>
        </is>
      </c>
      <c r="G4654" t="n">
        <v>5.3</v>
      </c>
      <c r="H4654" t="n">
        <v>0</v>
      </c>
      <c r="I4654" t="n">
        <v>0</v>
      </c>
      <c r="J4654" t="n">
        <v>0</v>
      </c>
      <c r="K4654" t="n">
        <v>0</v>
      </c>
      <c r="L4654" t="n">
        <v>0</v>
      </c>
      <c r="M4654" t="n">
        <v>0</v>
      </c>
      <c r="N4654" t="n">
        <v>0</v>
      </c>
      <c r="O4654" t="n">
        <v>0</v>
      </c>
      <c r="P4654" t="n">
        <v>0</v>
      </c>
      <c r="Q4654" t="n">
        <v>0</v>
      </c>
      <c r="R4654" s="2" t="inlineStr"/>
    </row>
    <row r="4655" ht="15" customHeight="1">
      <c r="A4655" t="inlineStr">
        <is>
          <t>A 21394-2020</t>
        </is>
      </c>
      <c r="B4655" s="1" t="n">
        <v>43955</v>
      </c>
      <c r="C4655" s="1" t="n">
        <v>45227</v>
      </c>
      <c r="D4655" t="inlineStr">
        <is>
          <t>VÄSTRA GÖTALANDS LÄN</t>
        </is>
      </c>
      <c r="E4655" t="inlineStr">
        <is>
          <t>HERRLJUNGA</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21262-2020</t>
        </is>
      </c>
      <c r="B4656" s="1" t="n">
        <v>43955</v>
      </c>
      <c r="C4656" s="1" t="n">
        <v>45227</v>
      </c>
      <c r="D4656" t="inlineStr">
        <is>
          <t>VÄSTRA GÖTALANDS LÄN</t>
        </is>
      </c>
      <c r="E4656" t="inlineStr">
        <is>
          <t>BORÅS</t>
        </is>
      </c>
      <c r="G4656" t="n">
        <v>2.2</v>
      </c>
      <c r="H4656" t="n">
        <v>0</v>
      </c>
      <c r="I4656" t="n">
        <v>0</v>
      </c>
      <c r="J4656" t="n">
        <v>0</v>
      </c>
      <c r="K4656" t="n">
        <v>0</v>
      </c>
      <c r="L4656" t="n">
        <v>0</v>
      </c>
      <c r="M4656" t="n">
        <v>0</v>
      </c>
      <c r="N4656" t="n">
        <v>0</v>
      </c>
      <c r="O4656" t="n">
        <v>0</v>
      </c>
      <c r="P4656" t="n">
        <v>0</v>
      </c>
      <c r="Q4656" t="n">
        <v>0</v>
      </c>
      <c r="R4656" s="2" t="inlineStr"/>
    </row>
    <row r="4657" ht="15" customHeight="1">
      <c r="A4657" t="inlineStr">
        <is>
          <t>A 21322-2020</t>
        </is>
      </c>
      <c r="B4657" s="1" t="n">
        <v>43955</v>
      </c>
      <c r="C4657" s="1" t="n">
        <v>45227</v>
      </c>
      <c r="D4657" t="inlineStr">
        <is>
          <t>VÄSTRA GÖTALANDS LÄN</t>
        </is>
      </c>
      <c r="E4657" t="inlineStr">
        <is>
          <t>ÅMÅL</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21253-2020</t>
        </is>
      </c>
      <c r="B4658" s="1" t="n">
        <v>43955</v>
      </c>
      <c r="C4658" s="1" t="n">
        <v>45227</v>
      </c>
      <c r="D4658" t="inlineStr">
        <is>
          <t>VÄSTRA GÖTALANDS LÄN</t>
        </is>
      </c>
      <c r="E4658" t="inlineStr">
        <is>
          <t>DALS-ED</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21266-2020</t>
        </is>
      </c>
      <c r="B4659" s="1" t="n">
        <v>43955</v>
      </c>
      <c r="C4659" s="1" t="n">
        <v>45227</v>
      </c>
      <c r="D4659" t="inlineStr">
        <is>
          <t>VÄSTRA GÖTALANDS LÄN</t>
        </is>
      </c>
      <c r="E4659" t="inlineStr">
        <is>
          <t>LIDKÖPING</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21281-2020</t>
        </is>
      </c>
      <c r="B4660" s="1" t="n">
        <v>43955</v>
      </c>
      <c r="C4660" s="1" t="n">
        <v>45227</v>
      </c>
      <c r="D4660" t="inlineStr">
        <is>
          <t>VÄSTRA GÖTALANDS LÄN</t>
        </is>
      </c>
      <c r="E4660" t="inlineStr">
        <is>
          <t>UDDEVALLA</t>
        </is>
      </c>
      <c r="F4660" t="inlineStr">
        <is>
          <t>Kyrkan</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21260-2020</t>
        </is>
      </c>
      <c r="B4661" s="1" t="n">
        <v>43955</v>
      </c>
      <c r="C4661" s="1" t="n">
        <v>45227</v>
      </c>
      <c r="D4661" t="inlineStr">
        <is>
          <t>VÄSTRA GÖTALANDS LÄN</t>
        </is>
      </c>
      <c r="E4661" t="inlineStr">
        <is>
          <t>STRÖMSTAD</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21267-2020</t>
        </is>
      </c>
      <c r="B4662" s="1" t="n">
        <v>43955</v>
      </c>
      <c r="C4662" s="1" t="n">
        <v>45227</v>
      </c>
      <c r="D4662" t="inlineStr">
        <is>
          <t>VÄSTRA GÖTALANDS LÄN</t>
        </is>
      </c>
      <c r="E4662" t="inlineStr">
        <is>
          <t>LIDKÖPING</t>
        </is>
      </c>
      <c r="G4662" t="n">
        <v>5.4</v>
      </c>
      <c r="H4662" t="n">
        <v>0</v>
      </c>
      <c r="I4662" t="n">
        <v>0</v>
      </c>
      <c r="J4662" t="n">
        <v>0</v>
      </c>
      <c r="K4662" t="n">
        <v>0</v>
      </c>
      <c r="L4662" t="n">
        <v>0</v>
      </c>
      <c r="M4662" t="n">
        <v>0</v>
      </c>
      <c r="N4662" t="n">
        <v>0</v>
      </c>
      <c r="O4662" t="n">
        <v>0</v>
      </c>
      <c r="P4662" t="n">
        <v>0</v>
      </c>
      <c r="Q4662" t="n">
        <v>0</v>
      </c>
      <c r="R4662" s="2" t="inlineStr"/>
    </row>
    <row r="4663" ht="15" customHeight="1">
      <c r="A4663" t="inlineStr">
        <is>
          <t>A 21321-2020</t>
        </is>
      </c>
      <c r="B4663" s="1" t="n">
        <v>43955</v>
      </c>
      <c r="C4663" s="1" t="n">
        <v>45227</v>
      </c>
      <c r="D4663" t="inlineStr">
        <is>
          <t>VÄSTRA GÖTALANDS LÄN</t>
        </is>
      </c>
      <c r="E4663" t="inlineStr">
        <is>
          <t>ÅMÅL</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21513-2020</t>
        </is>
      </c>
      <c r="B4664" s="1" t="n">
        <v>43956</v>
      </c>
      <c r="C4664" s="1" t="n">
        <v>45227</v>
      </c>
      <c r="D4664" t="inlineStr">
        <is>
          <t>VÄSTRA GÖTALANDS LÄN</t>
        </is>
      </c>
      <c r="E4664" t="inlineStr">
        <is>
          <t>SKARA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21445-2020</t>
        </is>
      </c>
      <c r="B4665" s="1" t="n">
        <v>43956</v>
      </c>
      <c r="C4665" s="1" t="n">
        <v>45227</v>
      </c>
      <c r="D4665" t="inlineStr">
        <is>
          <t>VÄSTRA GÖTALANDS LÄN</t>
        </is>
      </c>
      <c r="E4665" t="inlineStr">
        <is>
          <t>MARIESTAD</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21563-2020</t>
        </is>
      </c>
      <c r="B4666" s="1" t="n">
        <v>43956</v>
      </c>
      <c r="C4666" s="1" t="n">
        <v>45227</v>
      </c>
      <c r="D4666" t="inlineStr">
        <is>
          <t>VÄSTRA GÖTALANDS LÄN</t>
        </is>
      </c>
      <c r="E4666" t="inlineStr">
        <is>
          <t>LILLA EDET</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21685-2020</t>
        </is>
      </c>
      <c r="B4667" s="1" t="n">
        <v>43957</v>
      </c>
      <c r="C4667" s="1" t="n">
        <v>45227</v>
      </c>
      <c r="D4667" t="inlineStr">
        <is>
          <t>VÄSTRA GÖTALANDS LÄN</t>
        </is>
      </c>
      <c r="E4667" t="inlineStr">
        <is>
          <t>HÄRRYDA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22260-2020</t>
        </is>
      </c>
      <c r="B4668" s="1" t="n">
        <v>43957</v>
      </c>
      <c r="C4668" s="1" t="n">
        <v>45227</v>
      </c>
      <c r="D4668" t="inlineStr">
        <is>
          <t>VÄSTRA GÖTALANDS LÄN</t>
        </is>
      </c>
      <c r="E4668" t="inlineStr">
        <is>
          <t>ÅMÅL</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21719-2020</t>
        </is>
      </c>
      <c r="B4669" s="1" t="n">
        <v>43957</v>
      </c>
      <c r="C4669" s="1" t="n">
        <v>45227</v>
      </c>
      <c r="D4669" t="inlineStr">
        <is>
          <t>VÄSTRA GÖTALANDS LÄN</t>
        </is>
      </c>
      <c r="E4669" t="inlineStr">
        <is>
          <t>KARLSBORG</t>
        </is>
      </c>
      <c r="G4669" t="n">
        <v>9.9</v>
      </c>
      <c r="H4669" t="n">
        <v>0</v>
      </c>
      <c r="I4669" t="n">
        <v>0</v>
      </c>
      <c r="J4669" t="n">
        <v>0</v>
      </c>
      <c r="K4669" t="n">
        <v>0</v>
      </c>
      <c r="L4669" t="n">
        <v>0</v>
      </c>
      <c r="M4669" t="n">
        <v>0</v>
      </c>
      <c r="N4669" t="n">
        <v>0</v>
      </c>
      <c r="O4669" t="n">
        <v>0</v>
      </c>
      <c r="P4669" t="n">
        <v>0</v>
      </c>
      <c r="Q4669" t="n">
        <v>0</v>
      </c>
      <c r="R4669" s="2" t="inlineStr"/>
    </row>
    <row r="4670" ht="15" customHeight="1">
      <c r="A4670" t="inlineStr">
        <is>
          <t>A 22259-2020</t>
        </is>
      </c>
      <c r="B4670" s="1" t="n">
        <v>43957</v>
      </c>
      <c r="C4670" s="1" t="n">
        <v>45227</v>
      </c>
      <c r="D4670" t="inlineStr">
        <is>
          <t>VÄSTRA GÖTALANDS LÄN</t>
        </is>
      </c>
      <c r="E4670" t="inlineStr">
        <is>
          <t>ÅMÅL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21606-2020</t>
        </is>
      </c>
      <c r="B4671" s="1" t="n">
        <v>43957</v>
      </c>
      <c r="C4671" s="1" t="n">
        <v>45227</v>
      </c>
      <c r="D4671" t="inlineStr">
        <is>
          <t>VÄSTRA GÖTALANDS LÄN</t>
        </is>
      </c>
      <c r="E4671" t="inlineStr">
        <is>
          <t>LILLA EDET</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21622-2020</t>
        </is>
      </c>
      <c r="B4672" s="1" t="n">
        <v>43957</v>
      </c>
      <c r="C4672" s="1" t="n">
        <v>45227</v>
      </c>
      <c r="D4672" t="inlineStr">
        <is>
          <t>VÄSTRA GÖTALANDS LÄN</t>
        </is>
      </c>
      <c r="E4672" t="inlineStr">
        <is>
          <t>UDDEVALLA</t>
        </is>
      </c>
      <c r="F4672" t="inlineStr">
        <is>
          <t>Kyrkan</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21640-2020</t>
        </is>
      </c>
      <c r="B4673" s="1" t="n">
        <v>43957</v>
      </c>
      <c r="C4673" s="1" t="n">
        <v>45227</v>
      </c>
      <c r="D4673" t="inlineStr">
        <is>
          <t>VÄSTRA GÖTALANDS LÄN</t>
        </is>
      </c>
      <c r="E4673" t="inlineStr">
        <is>
          <t>VARA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21655-2020</t>
        </is>
      </c>
      <c r="B4674" s="1" t="n">
        <v>43957</v>
      </c>
      <c r="C4674" s="1" t="n">
        <v>45227</v>
      </c>
      <c r="D4674" t="inlineStr">
        <is>
          <t>VÄSTRA GÖTALANDS LÄN</t>
        </is>
      </c>
      <c r="E4674" t="inlineStr">
        <is>
          <t>TIBRO</t>
        </is>
      </c>
      <c r="G4674" t="n">
        <v>1.6</v>
      </c>
      <c r="H4674" t="n">
        <v>0</v>
      </c>
      <c r="I4674" t="n">
        <v>0</v>
      </c>
      <c r="J4674" t="n">
        <v>0</v>
      </c>
      <c r="K4674" t="n">
        <v>0</v>
      </c>
      <c r="L4674" t="n">
        <v>0</v>
      </c>
      <c r="M4674" t="n">
        <v>0</v>
      </c>
      <c r="N4674" t="n">
        <v>0</v>
      </c>
      <c r="O4674" t="n">
        <v>0</v>
      </c>
      <c r="P4674" t="n">
        <v>0</v>
      </c>
      <c r="Q4674" t="n">
        <v>0</v>
      </c>
      <c r="R4674" s="2" t="inlineStr"/>
    </row>
    <row r="4675" ht="15" customHeight="1">
      <c r="A4675" t="inlineStr">
        <is>
          <t>A 21682-2020</t>
        </is>
      </c>
      <c r="B4675" s="1" t="n">
        <v>43957</v>
      </c>
      <c r="C4675" s="1" t="n">
        <v>45227</v>
      </c>
      <c r="D4675" t="inlineStr">
        <is>
          <t>VÄSTRA GÖTALANDS LÄN</t>
        </is>
      </c>
      <c r="E4675" t="inlineStr">
        <is>
          <t>HÄRRYDA</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21627-2020</t>
        </is>
      </c>
      <c r="B4676" s="1" t="n">
        <v>43957</v>
      </c>
      <c r="C4676" s="1" t="n">
        <v>45227</v>
      </c>
      <c r="D4676" t="inlineStr">
        <is>
          <t>VÄSTRA GÖTALANDS LÄN</t>
        </is>
      </c>
      <c r="E4676" t="inlineStr">
        <is>
          <t>MUNKEDAL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21677-2020</t>
        </is>
      </c>
      <c r="B4677" s="1" t="n">
        <v>43957</v>
      </c>
      <c r="C4677" s="1" t="n">
        <v>45227</v>
      </c>
      <c r="D4677" t="inlineStr">
        <is>
          <t>VÄSTRA GÖTALANDS LÄN</t>
        </is>
      </c>
      <c r="E4677" t="inlineStr">
        <is>
          <t>MELLERUD</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21792-2020</t>
        </is>
      </c>
      <c r="B4678" s="1" t="n">
        <v>43958</v>
      </c>
      <c r="C4678" s="1" t="n">
        <v>45227</v>
      </c>
      <c r="D4678" t="inlineStr">
        <is>
          <t>VÄSTRA GÖTALANDS LÄN</t>
        </is>
      </c>
      <c r="E4678" t="inlineStr">
        <is>
          <t>TÖREBODA</t>
        </is>
      </c>
      <c r="F4678" t="inlineStr">
        <is>
          <t>Sveaskog</t>
        </is>
      </c>
      <c r="G4678" t="n">
        <v>4.7</v>
      </c>
      <c r="H4678" t="n">
        <v>0</v>
      </c>
      <c r="I4678" t="n">
        <v>0</v>
      </c>
      <c r="J4678" t="n">
        <v>0</v>
      </c>
      <c r="K4678" t="n">
        <v>0</v>
      </c>
      <c r="L4678" t="n">
        <v>0</v>
      </c>
      <c r="M4678" t="n">
        <v>0</v>
      </c>
      <c r="N4678" t="n">
        <v>0</v>
      </c>
      <c r="O4678" t="n">
        <v>0</v>
      </c>
      <c r="P4678" t="n">
        <v>0</v>
      </c>
      <c r="Q4678" t="n">
        <v>0</v>
      </c>
      <c r="R4678" s="2" t="inlineStr"/>
    </row>
    <row r="4679" ht="15" customHeight="1">
      <c r="A4679" t="inlineStr">
        <is>
          <t>A 21912-2020</t>
        </is>
      </c>
      <c r="B4679" s="1" t="n">
        <v>43958</v>
      </c>
      <c r="C4679" s="1" t="n">
        <v>45227</v>
      </c>
      <c r="D4679" t="inlineStr">
        <is>
          <t>VÄSTRA GÖTALANDS LÄN</t>
        </is>
      </c>
      <c r="E4679" t="inlineStr">
        <is>
          <t>ORUST</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21811-2020</t>
        </is>
      </c>
      <c r="B4680" s="1" t="n">
        <v>43958</v>
      </c>
      <c r="C4680" s="1" t="n">
        <v>45227</v>
      </c>
      <c r="D4680" t="inlineStr">
        <is>
          <t>VÄSTRA GÖTALANDS LÄN</t>
        </is>
      </c>
      <c r="E4680" t="inlineStr">
        <is>
          <t>TIDAHOLM</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21914-2020</t>
        </is>
      </c>
      <c r="B4681" s="1" t="n">
        <v>43958</v>
      </c>
      <c r="C4681" s="1" t="n">
        <v>45227</v>
      </c>
      <c r="D4681" t="inlineStr">
        <is>
          <t>VÄSTRA GÖTALANDS LÄN</t>
        </is>
      </c>
      <c r="E4681" t="inlineStr">
        <is>
          <t>ALINGSÅS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21976-2020</t>
        </is>
      </c>
      <c r="B4682" s="1" t="n">
        <v>43959</v>
      </c>
      <c r="C4682" s="1" t="n">
        <v>45227</v>
      </c>
      <c r="D4682" t="inlineStr">
        <is>
          <t>VÄSTRA GÖTALANDS LÄN</t>
        </is>
      </c>
      <c r="E4682" t="inlineStr">
        <is>
          <t>MARK</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22010-2020</t>
        </is>
      </c>
      <c r="B4683" s="1" t="n">
        <v>43959</v>
      </c>
      <c r="C4683" s="1" t="n">
        <v>45227</v>
      </c>
      <c r="D4683" t="inlineStr">
        <is>
          <t>VÄSTRA GÖTALANDS LÄN</t>
        </is>
      </c>
      <c r="E4683" t="inlineStr">
        <is>
          <t>VARA</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22559-2020</t>
        </is>
      </c>
      <c r="B4684" s="1" t="n">
        <v>43959</v>
      </c>
      <c r="C4684" s="1" t="n">
        <v>45227</v>
      </c>
      <c r="D4684" t="inlineStr">
        <is>
          <t>VÄSTRA GÖTALANDS LÄN</t>
        </is>
      </c>
      <c r="E4684" t="inlineStr">
        <is>
          <t>DALS-ED</t>
        </is>
      </c>
      <c r="F4684" t="inlineStr">
        <is>
          <t>Kyrkan</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22022-2020</t>
        </is>
      </c>
      <c r="B4685" s="1" t="n">
        <v>43959</v>
      </c>
      <c r="C4685" s="1" t="n">
        <v>45227</v>
      </c>
      <c r="D4685" t="inlineStr">
        <is>
          <t>VÄSTRA GÖTALANDS LÄN</t>
        </is>
      </c>
      <c r="E4685" t="inlineStr">
        <is>
          <t>VARA</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22026-2020</t>
        </is>
      </c>
      <c r="B4686" s="1" t="n">
        <v>43959</v>
      </c>
      <c r="C4686" s="1" t="n">
        <v>45227</v>
      </c>
      <c r="D4686" t="inlineStr">
        <is>
          <t>VÄSTRA GÖTALANDS LÄN</t>
        </is>
      </c>
      <c r="E4686" t="inlineStr">
        <is>
          <t>HERRLJUNGA</t>
        </is>
      </c>
      <c r="G4686" t="n">
        <v>3.7</v>
      </c>
      <c r="H4686" t="n">
        <v>0</v>
      </c>
      <c r="I4686" t="n">
        <v>0</v>
      </c>
      <c r="J4686" t="n">
        <v>0</v>
      </c>
      <c r="K4686" t="n">
        <v>0</v>
      </c>
      <c r="L4686" t="n">
        <v>0</v>
      </c>
      <c r="M4686" t="n">
        <v>0</v>
      </c>
      <c r="N4686" t="n">
        <v>0</v>
      </c>
      <c r="O4686" t="n">
        <v>0</v>
      </c>
      <c r="P4686" t="n">
        <v>0</v>
      </c>
      <c r="Q4686" t="n">
        <v>0</v>
      </c>
      <c r="R4686" s="2" t="inlineStr"/>
    </row>
    <row r="4687" ht="15" customHeight="1">
      <c r="A4687" t="inlineStr">
        <is>
          <t>A 22519-2020</t>
        </is>
      </c>
      <c r="B4687" s="1" t="n">
        <v>43959</v>
      </c>
      <c r="C4687" s="1" t="n">
        <v>45227</v>
      </c>
      <c r="D4687" t="inlineStr">
        <is>
          <t>VÄSTRA GÖTALANDS LÄN</t>
        </is>
      </c>
      <c r="E4687" t="inlineStr">
        <is>
          <t>LILLA EDET</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22614-2020</t>
        </is>
      </c>
      <c r="B4688" s="1" t="n">
        <v>43959</v>
      </c>
      <c r="C4688" s="1" t="n">
        <v>45227</v>
      </c>
      <c r="D4688" t="inlineStr">
        <is>
          <t>VÄSTRA GÖTALANDS LÄN</t>
        </is>
      </c>
      <c r="E4688" t="inlineStr">
        <is>
          <t>BENGTSFORS</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22028-2020</t>
        </is>
      </c>
      <c r="B4689" s="1" t="n">
        <v>43959</v>
      </c>
      <c r="C4689" s="1" t="n">
        <v>45227</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22065-2020</t>
        </is>
      </c>
      <c r="B4690" s="1" t="n">
        <v>43959</v>
      </c>
      <c r="C4690" s="1" t="n">
        <v>45227</v>
      </c>
      <c r="D4690" t="inlineStr">
        <is>
          <t>VÄSTRA GÖTALANDS LÄN</t>
        </is>
      </c>
      <c r="E4690" t="inlineStr">
        <is>
          <t>ÅMÅL</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22123-2020</t>
        </is>
      </c>
      <c r="B4691" s="1" t="n">
        <v>43961</v>
      </c>
      <c r="C4691" s="1" t="n">
        <v>45227</v>
      </c>
      <c r="D4691" t="inlineStr">
        <is>
          <t>VÄSTRA GÖTALANDS LÄN</t>
        </is>
      </c>
      <c r="E4691" t="inlineStr">
        <is>
          <t>KUNGÄLV</t>
        </is>
      </c>
      <c r="G4691" t="n">
        <v>8.6</v>
      </c>
      <c r="H4691" t="n">
        <v>0</v>
      </c>
      <c r="I4691" t="n">
        <v>0</v>
      </c>
      <c r="J4691" t="n">
        <v>0</v>
      </c>
      <c r="K4691" t="n">
        <v>0</v>
      </c>
      <c r="L4691" t="n">
        <v>0</v>
      </c>
      <c r="M4691" t="n">
        <v>0</v>
      </c>
      <c r="N4691" t="n">
        <v>0</v>
      </c>
      <c r="O4691" t="n">
        <v>0</v>
      </c>
      <c r="P4691" t="n">
        <v>0</v>
      </c>
      <c r="Q4691" t="n">
        <v>0</v>
      </c>
      <c r="R4691" s="2" t="inlineStr"/>
    </row>
    <row r="4692" ht="15" customHeight="1">
      <c r="A4692" t="inlineStr">
        <is>
          <t>A 22147-2020</t>
        </is>
      </c>
      <c r="B4692" s="1" t="n">
        <v>43961</v>
      </c>
      <c r="C4692" s="1" t="n">
        <v>45227</v>
      </c>
      <c r="D4692" t="inlineStr">
        <is>
          <t>VÄSTRA GÖTALANDS LÄN</t>
        </is>
      </c>
      <c r="E4692" t="inlineStr">
        <is>
          <t>TIDAHOLM</t>
        </is>
      </c>
      <c r="G4692" t="n">
        <v>1.3</v>
      </c>
      <c r="H4692" t="n">
        <v>0</v>
      </c>
      <c r="I4692" t="n">
        <v>0</v>
      </c>
      <c r="J4692" t="n">
        <v>0</v>
      </c>
      <c r="K4692" t="n">
        <v>0</v>
      </c>
      <c r="L4692" t="n">
        <v>0</v>
      </c>
      <c r="M4692" t="n">
        <v>0</v>
      </c>
      <c r="N4692" t="n">
        <v>0</v>
      </c>
      <c r="O4692" t="n">
        <v>0</v>
      </c>
      <c r="P4692" t="n">
        <v>0</v>
      </c>
      <c r="Q4692" t="n">
        <v>0</v>
      </c>
      <c r="R4692" s="2" t="inlineStr"/>
    </row>
    <row r="4693" ht="15" customHeight="1">
      <c r="A4693" t="inlineStr">
        <is>
          <t>A 22127-2020</t>
        </is>
      </c>
      <c r="B4693" s="1" t="n">
        <v>43961</v>
      </c>
      <c r="C4693" s="1" t="n">
        <v>45227</v>
      </c>
      <c r="D4693" t="inlineStr">
        <is>
          <t>VÄSTRA GÖTALANDS LÄN</t>
        </is>
      </c>
      <c r="E4693" t="inlineStr">
        <is>
          <t>KUNGÄLV</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22146-2020</t>
        </is>
      </c>
      <c r="B4694" s="1" t="n">
        <v>43961</v>
      </c>
      <c r="C4694" s="1" t="n">
        <v>45227</v>
      </c>
      <c r="D4694" t="inlineStr">
        <is>
          <t>VÄSTRA GÖTALANDS LÄN</t>
        </is>
      </c>
      <c r="E4694" t="inlineStr">
        <is>
          <t>MARIESTAD</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22190-2020</t>
        </is>
      </c>
      <c r="B4695" s="1" t="n">
        <v>43962</v>
      </c>
      <c r="C4695" s="1" t="n">
        <v>45227</v>
      </c>
      <c r="D4695" t="inlineStr">
        <is>
          <t>VÄSTRA GÖTALANDS LÄN</t>
        </is>
      </c>
      <c r="E4695" t="inlineStr">
        <is>
          <t>ESSUNGA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22199-2020</t>
        </is>
      </c>
      <c r="B4696" s="1" t="n">
        <v>43962</v>
      </c>
      <c r="C4696" s="1" t="n">
        <v>45227</v>
      </c>
      <c r="D4696" t="inlineStr">
        <is>
          <t>VÄSTRA GÖTALANDS LÄN</t>
        </is>
      </c>
      <c r="E4696" t="inlineStr">
        <is>
          <t>FÄRGELANDA</t>
        </is>
      </c>
      <c r="F4696" t="inlineStr">
        <is>
          <t>Kommuner</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22204-2020</t>
        </is>
      </c>
      <c r="B4697" s="1" t="n">
        <v>43962</v>
      </c>
      <c r="C4697" s="1" t="n">
        <v>45227</v>
      </c>
      <c r="D4697" t="inlineStr">
        <is>
          <t>VÄSTRA GÖTALANDS LÄN</t>
        </is>
      </c>
      <c r="E4697" t="inlineStr">
        <is>
          <t>FÄRGELANDA</t>
        </is>
      </c>
      <c r="F4697" t="inlineStr">
        <is>
          <t>Kommuner</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22258-2020</t>
        </is>
      </c>
      <c r="B4698" s="1" t="n">
        <v>43962</v>
      </c>
      <c r="C4698" s="1" t="n">
        <v>45227</v>
      </c>
      <c r="D4698" t="inlineStr">
        <is>
          <t>VÄSTRA GÖTALANDS LÄN</t>
        </is>
      </c>
      <c r="E4698" t="inlineStr">
        <is>
          <t>SVENLJUNGA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22275-2020</t>
        </is>
      </c>
      <c r="B4699" s="1" t="n">
        <v>43962</v>
      </c>
      <c r="C4699" s="1" t="n">
        <v>45227</v>
      </c>
      <c r="D4699" t="inlineStr">
        <is>
          <t>VÄSTRA GÖTALANDS LÄN</t>
        </is>
      </c>
      <c r="E4699" t="inlineStr">
        <is>
          <t>SKÖVDE</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22313-2020</t>
        </is>
      </c>
      <c r="B4700" s="1" t="n">
        <v>43962</v>
      </c>
      <c r="C4700" s="1" t="n">
        <v>45227</v>
      </c>
      <c r="D4700" t="inlineStr">
        <is>
          <t>VÄSTRA GÖTALANDS LÄN</t>
        </is>
      </c>
      <c r="E4700" t="inlineStr">
        <is>
          <t>VARA</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22197-2020</t>
        </is>
      </c>
      <c r="B4701" s="1" t="n">
        <v>43962</v>
      </c>
      <c r="C4701" s="1" t="n">
        <v>45227</v>
      </c>
      <c r="D4701" t="inlineStr">
        <is>
          <t>VÄSTRA GÖTALANDS LÄN</t>
        </is>
      </c>
      <c r="E4701" t="inlineStr">
        <is>
          <t>SKARA</t>
        </is>
      </c>
      <c r="G4701" t="n">
        <v>1.1</v>
      </c>
      <c r="H4701" t="n">
        <v>0</v>
      </c>
      <c r="I4701" t="n">
        <v>0</v>
      </c>
      <c r="J4701" t="n">
        <v>0</v>
      </c>
      <c r="K4701" t="n">
        <v>0</v>
      </c>
      <c r="L4701" t="n">
        <v>0</v>
      </c>
      <c r="M4701" t="n">
        <v>0</v>
      </c>
      <c r="N4701" t="n">
        <v>0</v>
      </c>
      <c r="O4701" t="n">
        <v>0</v>
      </c>
      <c r="P4701" t="n">
        <v>0</v>
      </c>
      <c r="Q4701" t="n">
        <v>0</v>
      </c>
      <c r="R4701" s="2" t="inlineStr"/>
    </row>
    <row r="4702" ht="15" customHeight="1">
      <c r="A4702" t="inlineStr">
        <is>
          <t>A 22564-2020</t>
        </is>
      </c>
      <c r="B4702" s="1" t="n">
        <v>43963</v>
      </c>
      <c r="C4702" s="1" t="n">
        <v>45227</v>
      </c>
      <c r="D4702" t="inlineStr">
        <is>
          <t>VÄSTRA GÖTALANDS LÄN</t>
        </is>
      </c>
      <c r="E4702" t="inlineStr">
        <is>
          <t>ALINGSÅS</t>
        </is>
      </c>
      <c r="G4702" t="n">
        <v>2.7</v>
      </c>
      <c r="H4702" t="n">
        <v>0</v>
      </c>
      <c r="I4702" t="n">
        <v>0</v>
      </c>
      <c r="J4702" t="n">
        <v>0</v>
      </c>
      <c r="K4702" t="n">
        <v>0</v>
      </c>
      <c r="L4702" t="n">
        <v>0</v>
      </c>
      <c r="M4702" t="n">
        <v>0</v>
      </c>
      <c r="N4702" t="n">
        <v>0</v>
      </c>
      <c r="O4702" t="n">
        <v>0</v>
      </c>
      <c r="P4702" t="n">
        <v>0</v>
      </c>
      <c r="Q4702" t="n">
        <v>0</v>
      </c>
      <c r="R4702" s="2" t="inlineStr"/>
    </row>
    <row r="4703" ht="15" customHeight="1">
      <c r="A4703" t="inlineStr">
        <is>
          <t>A 22622-2020</t>
        </is>
      </c>
      <c r="B4703" s="1" t="n">
        <v>43963</v>
      </c>
      <c r="C4703" s="1" t="n">
        <v>45227</v>
      </c>
      <c r="D4703" t="inlineStr">
        <is>
          <t>VÄSTRA GÖTALANDS LÄN</t>
        </is>
      </c>
      <c r="E4703" t="inlineStr">
        <is>
          <t>ULRICEHAMN</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22557-2020</t>
        </is>
      </c>
      <c r="B4704" s="1" t="n">
        <v>43963</v>
      </c>
      <c r="C4704" s="1" t="n">
        <v>45227</v>
      </c>
      <c r="D4704" t="inlineStr">
        <is>
          <t>VÄSTRA GÖTALANDS LÄN</t>
        </is>
      </c>
      <c r="E4704" t="inlineStr">
        <is>
          <t>SKARA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22579-2020</t>
        </is>
      </c>
      <c r="B4705" s="1" t="n">
        <v>43963</v>
      </c>
      <c r="C4705" s="1" t="n">
        <v>45227</v>
      </c>
      <c r="D4705" t="inlineStr">
        <is>
          <t>VÄSTRA GÖTALANDS LÄN</t>
        </is>
      </c>
      <c r="E4705" t="inlineStr">
        <is>
          <t>LIDKÖPING</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22621-2020</t>
        </is>
      </c>
      <c r="B4706" s="1" t="n">
        <v>43963</v>
      </c>
      <c r="C4706" s="1" t="n">
        <v>45227</v>
      </c>
      <c r="D4706" t="inlineStr">
        <is>
          <t>VÄSTRA GÖTALANDS LÄN</t>
        </is>
      </c>
      <c r="E4706" t="inlineStr">
        <is>
          <t>ULRICEHAMN</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22625-2020</t>
        </is>
      </c>
      <c r="B4707" s="1" t="n">
        <v>43963</v>
      </c>
      <c r="C4707" s="1" t="n">
        <v>45227</v>
      </c>
      <c r="D4707" t="inlineStr">
        <is>
          <t>VÄSTRA GÖTALANDS LÄN</t>
        </is>
      </c>
      <c r="E4707" t="inlineStr">
        <is>
          <t>SVENLJUNGA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22644-2020</t>
        </is>
      </c>
      <c r="B4708" s="1" t="n">
        <v>43963</v>
      </c>
      <c r="C4708" s="1" t="n">
        <v>45227</v>
      </c>
      <c r="D4708" t="inlineStr">
        <is>
          <t>VÄSTRA GÖTALANDS LÄN</t>
        </is>
      </c>
      <c r="E4708" t="inlineStr">
        <is>
          <t>VARA</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23251-2020</t>
        </is>
      </c>
      <c r="B4709" s="1" t="n">
        <v>43964</v>
      </c>
      <c r="C4709" s="1" t="n">
        <v>45227</v>
      </c>
      <c r="D4709" t="inlineStr">
        <is>
          <t>VÄSTRA GÖTALANDS LÄN</t>
        </is>
      </c>
      <c r="E4709" t="inlineStr">
        <is>
          <t>MUNKEDAL</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22742-2020</t>
        </is>
      </c>
      <c r="B4710" s="1" t="n">
        <v>43964</v>
      </c>
      <c r="C4710" s="1" t="n">
        <v>45227</v>
      </c>
      <c r="D4710" t="inlineStr">
        <is>
          <t>VÄSTRA GÖTALANDS LÄN</t>
        </is>
      </c>
      <c r="E4710" t="inlineStr">
        <is>
          <t>TÖREBODA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22794-2020</t>
        </is>
      </c>
      <c r="B4711" s="1" t="n">
        <v>43964</v>
      </c>
      <c r="C4711" s="1" t="n">
        <v>45227</v>
      </c>
      <c r="D4711" t="inlineStr">
        <is>
          <t>VÄSTRA GÖTALANDS LÄN</t>
        </is>
      </c>
      <c r="E4711" t="inlineStr">
        <is>
          <t>LIDKÖPING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22805-2020</t>
        </is>
      </c>
      <c r="B4712" s="1" t="n">
        <v>43964</v>
      </c>
      <c r="C4712" s="1" t="n">
        <v>45227</v>
      </c>
      <c r="D4712" t="inlineStr">
        <is>
          <t>VÄSTRA GÖTALANDS LÄN</t>
        </is>
      </c>
      <c r="E4712" t="inlineStr">
        <is>
          <t>LIDKÖPING</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22842-2020</t>
        </is>
      </c>
      <c r="B4713" s="1" t="n">
        <v>43964</v>
      </c>
      <c r="C4713" s="1" t="n">
        <v>45227</v>
      </c>
      <c r="D4713" t="inlineStr">
        <is>
          <t>VÄSTRA GÖTALANDS LÄN</t>
        </is>
      </c>
      <c r="E4713" t="inlineStr">
        <is>
          <t>LERUM</t>
        </is>
      </c>
      <c r="G4713" t="n">
        <v>5.9</v>
      </c>
      <c r="H4713" t="n">
        <v>0</v>
      </c>
      <c r="I4713" t="n">
        <v>0</v>
      </c>
      <c r="J4713" t="n">
        <v>0</v>
      </c>
      <c r="K4713" t="n">
        <v>0</v>
      </c>
      <c r="L4713" t="n">
        <v>0</v>
      </c>
      <c r="M4713" t="n">
        <v>0</v>
      </c>
      <c r="N4713" t="n">
        <v>0</v>
      </c>
      <c r="O4713" t="n">
        <v>0</v>
      </c>
      <c r="P4713" t="n">
        <v>0</v>
      </c>
      <c r="Q4713" t="n">
        <v>0</v>
      </c>
      <c r="R4713" s="2" t="inlineStr"/>
    </row>
    <row r="4714" ht="15" customHeight="1">
      <c r="A4714" t="inlineStr">
        <is>
          <t>A 23239-2020</t>
        </is>
      </c>
      <c r="B4714" s="1" t="n">
        <v>43964</v>
      </c>
      <c r="C4714" s="1" t="n">
        <v>45227</v>
      </c>
      <c r="D4714" t="inlineStr">
        <is>
          <t>VÄSTRA GÖTALANDS LÄN</t>
        </is>
      </c>
      <c r="E4714" t="inlineStr">
        <is>
          <t>DALS-ED</t>
        </is>
      </c>
      <c r="G4714" t="n">
        <v>5.5</v>
      </c>
      <c r="H4714" t="n">
        <v>0</v>
      </c>
      <c r="I4714" t="n">
        <v>0</v>
      </c>
      <c r="J4714" t="n">
        <v>0</v>
      </c>
      <c r="K4714" t="n">
        <v>0</v>
      </c>
      <c r="L4714" t="n">
        <v>0</v>
      </c>
      <c r="M4714" t="n">
        <v>0</v>
      </c>
      <c r="N4714" t="n">
        <v>0</v>
      </c>
      <c r="O4714" t="n">
        <v>0</v>
      </c>
      <c r="P4714" t="n">
        <v>0</v>
      </c>
      <c r="Q4714" t="n">
        <v>0</v>
      </c>
      <c r="R4714" s="2" t="inlineStr"/>
    </row>
    <row r="4715" ht="15" customHeight="1">
      <c r="A4715" t="inlineStr">
        <is>
          <t>A 22852-2020</t>
        </is>
      </c>
      <c r="B4715" s="1" t="n">
        <v>43964</v>
      </c>
      <c r="C4715" s="1" t="n">
        <v>45227</v>
      </c>
      <c r="D4715" t="inlineStr">
        <is>
          <t>VÄSTRA GÖTALANDS LÄN</t>
        </is>
      </c>
      <c r="E4715" t="inlineStr">
        <is>
          <t>ESSUNGA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22879-2020</t>
        </is>
      </c>
      <c r="B4716" s="1" t="n">
        <v>43964</v>
      </c>
      <c r="C4716" s="1" t="n">
        <v>45227</v>
      </c>
      <c r="D4716" t="inlineStr">
        <is>
          <t>VÄSTRA GÖTALANDS LÄN</t>
        </is>
      </c>
      <c r="E4716" t="inlineStr">
        <is>
          <t>MELLERUD</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22744-2020</t>
        </is>
      </c>
      <c r="B4717" s="1" t="n">
        <v>43964</v>
      </c>
      <c r="C4717" s="1" t="n">
        <v>45227</v>
      </c>
      <c r="D4717" t="inlineStr">
        <is>
          <t>VÄSTRA GÖTALANDS LÄN</t>
        </is>
      </c>
      <c r="E4717" t="inlineStr">
        <is>
          <t>MARIESTAD</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22981-2020</t>
        </is>
      </c>
      <c r="B4718" s="1" t="n">
        <v>43965</v>
      </c>
      <c r="C4718" s="1" t="n">
        <v>45227</v>
      </c>
      <c r="D4718" t="inlineStr">
        <is>
          <t>VÄSTRA GÖTALANDS LÄN</t>
        </is>
      </c>
      <c r="E4718" t="inlineStr">
        <is>
          <t>TIDAHOLM</t>
        </is>
      </c>
      <c r="G4718" t="n">
        <v>3.1</v>
      </c>
      <c r="H4718" t="n">
        <v>0</v>
      </c>
      <c r="I4718" t="n">
        <v>0</v>
      </c>
      <c r="J4718" t="n">
        <v>0</v>
      </c>
      <c r="K4718" t="n">
        <v>0</v>
      </c>
      <c r="L4718" t="n">
        <v>0</v>
      </c>
      <c r="M4718" t="n">
        <v>0</v>
      </c>
      <c r="N4718" t="n">
        <v>0</v>
      </c>
      <c r="O4718" t="n">
        <v>0</v>
      </c>
      <c r="P4718" t="n">
        <v>0</v>
      </c>
      <c r="Q4718" t="n">
        <v>0</v>
      </c>
      <c r="R4718" s="2" t="inlineStr"/>
    </row>
    <row r="4719" ht="15" customHeight="1">
      <c r="A4719" t="inlineStr">
        <is>
          <t>A 23112-2020</t>
        </is>
      </c>
      <c r="B4719" s="1" t="n">
        <v>43965</v>
      </c>
      <c r="C4719" s="1" t="n">
        <v>45227</v>
      </c>
      <c r="D4719" t="inlineStr">
        <is>
          <t>VÄSTRA GÖTALANDS LÄN</t>
        </is>
      </c>
      <c r="E4719" t="inlineStr">
        <is>
          <t>SVENLJUNGA</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22980-2020</t>
        </is>
      </c>
      <c r="B4720" s="1" t="n">
        <v>43965</v>
      </c>
      <c r="C4720" s="1" t="n">
        <v>45227</v>
      </c>
      <c r="D4720" t="inlineStr">
        <is>
          <t>VÄSTRA GÖTALANDS LÄN</t>
        </is>
      </c>
      <c r="E4720" t="inlineStr">
        <is>
          <t>HJO</t>
        </is>
      </c>
      <c r="G4720" t="n">
        <v>2.3</v>
      </c>
      <c r="H4720" t="n">
        <v>0</v>
      </c>
      <c r="I4720" t="n">
        <v>0</v>
      </c>
      <c r="J4720" t="n">
        <v>0</v>
      </c>
      <c r="K4720" t="n">
        <v>0</v>
      </c>
      <c r="L4720" t="n">
        <v>0</v>
      </c>
      <c r="M4720" t="n">
        <v>0</v>
      </c>
      <c r="N4720" t="n">
        <v>0</v>
      </c>
      <c r="O4720" t="n">
        <v>0</v>
      </c>
      <c r="P4720" t="n">
        <v>0</v>
      </c>
      <c r="Q4720" t="n">
        <v>0</v>
      </c>
      <c r="R4720" s="2" t="inlineStr"/>
    </row>
    <row r="4721" ht="15" customHeight="1">
      <c r="A4721" t="inlineStr">
        <is>
          <t>A 23099-2020</t>
        </is>
      </c>
      <c r="B4721" s="1" t="n">
        <v>43965</v>
      </c>
      <c r="C4721" s="1" t="n">
        <v>45227</v>
      </c>
      <c r="D4721" t="inlineStr">
        <is>
          <t>VÄSTRA GÖTALANDS LÄN</t>
        </is>
      </c>
      <c r="E4721" t="inlineStr">
        <is>
          <t>ALE</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23139-2020</t>
        </is>
      </c>
      <c r="B4722" s="1" t="n">
        <v>43966</v>
      </c>
      <c r="C4722" s="1" t="n">
        <v>45227</v>
      </c>
      <c r="D4722" t="inlineStr">
        <is>
          <t>VÄSTRA GÖTALANDS LÄN</t>
        </is>
      </c>
      <c r="E4722" t="inlineStr">
        <is>
          <t>MARIESTAD</t>
        </is>
      </c>
      <c r="F4722" t="inlineStr">
        <is>
          <t>Sveaskog</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23169-2020</t>
        </is>
      </c>
      <c r="B4723" s="1" t="n">
        <v>43966</v>
      </c>
      <c r="C4723" s="1" t="n">
        <v>45227</v>
      </c>
      <c r="D4723" t="inlineStr">
        <is>
          <t>VÄSTRA GÖTALANDS LÄN</t>
        </is>
      </c>
      <c r="E4723" t="inlineStr">
        <is>
          <t>ULRICEHAMN</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23289-2020</t>
        </is>
      </c>
      <c r="B4724" s="1" t="n">
        <v>43966</v>
      </c>
      <c r="C4724" s="1" t="n">
        <v>45227</v>
      </c>
      <c r="D4724" t="inlineStr">
        <is>
          <t>VÄSTRA GÖTALANDS LÄN</t>
        </is>
      </c>
      <c r="E4724" t="inlineStr">
        <is>
          <t>TRANEMO</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23229-2020</t>
        </is>
      </c>
      <c r="B4725" s="1" t="n">
        <v>43966</v>
      </c>
      <c r="C4725" s="1" t="n">
        <v>45227</v>
      </c>
      <c r="D4725" t="inlineStr">
        <is>
          <t>VÄSTRA GÖTALANDS LÄN</t>
        </is>
      </c>
      <c r="E4725" t="inlineStr">
        <is>
          <t>LIDKÖPING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23534-2020</t>
        </is>
      </c>
      <c r="B4726" s="1" t="n">
        <v>43969</v>
      </c>
      <c r="C4726" s="1" t="n">
        <v>45227</v>
      </c>
      <c r="D4726" t="inlineStr">
        <is>
          <t>VÄSTRA GÖTALANDS LÄN</t>
        </is>
      </c>
      <c r="E4726" t="inlineStr">
        <is>
          <t>HERRLJUNGA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23664-2020</t>
        </is>
      </c>
      <c r="B4727" s="1" t="n">
        <v>43969</v>
      </c>
      <c r="C4727" s="1" t="n">
        <v>45227</v>
      </c>
      <c r="D4727" t="inlineStr">
        <is>
          <t>VÄSTRA GÖTALANDS LÄN</t>
        </is>
      </c>
      <c r="E4727" t="inlineStr">
        <is>
          <t>VARA</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23529-2020</t>
        </is>
      </c>
      <c r="B4728" s="1" t="n">
        <v>43969</v>
      </c>
      <c r="C4728" s="1" t="n">
        <v>45227</v>
      </c>
      <c r="D4728" t="inlineStr">
        <is>
          <t>VÄSTRA GÖTALANDS LÄN</t>
        </is>
      </c>
      <c r="E4728" t="inlineStr">
        <is>
          <t>BOLLEBYGD</t>
        </is>
      </c>
      <c r="G4728" t="n">
        <v>4.9</v>
      </c>
      <c r="H4728" t="n">
        <v>0</v>
      </c>
      <c r="I4728" t="n">
        <v>0</v>
      </c>
      <c r="J4728" t="n">
        <v>0</v>
      </c>
      <c r="K4728" t="n">
        <v>0</v>
      </c>
      <c r="L4728" t="n">
        <v>0</v>
      </c>
      <c r="M4728" t="n">
        <v>0</v>
      </c>
      <c r="N4728" t="n">
        <v>0</v>
      </c>
      <c r="O4728" t="n">
        <v>0</v>
      </c>
      <c r="P4728" t="n">
        <v>0</v>
      </c>
      <c r="Q4728" t="n">
        <v>0</v>
      </c>
      <c r="R4728" s="2" t="inlineStr"/>
    </row>
    <row r="4729" ht="15" customHeight="1">
      <c r="A4729" t="inlineStr">
        <is>
          <t>A 23663-2020</t>
        </is>
      </c>
      <c r="B4729" s="1" t="n">
        <v>43969</v>
      </c>
      <c r="C4729" s="1" t="n">
        <v>45227</v>
      </c>
      <c r="D4729" t="inlineStr">
        <is>
          <t>VÄSTRA GÖTALANDS LÄN</t>
        </is>
      </c>
      <c r="E4729" t="inlineStr">
        <is>
          <t>MELLERUD</t>
        </is>
      </c>
      <c r="G4729" t="n">
        <v>10.1</v>
      </c>
      <c r="H4729" t="n">
        <v>0</v>
      </c>
      <c r="I4729" t="n">
        <v>0</v>
      </c>
      <c r="J4729" t="n">
        <v>0</v>
      </c>
      <c r="K4729" t="n">
        <v>0</v>
      </c>
      <c r="L4729" t="n">
        <v>0</v>
      </c>
      <c r="M4729" t="n">
        <v>0</v>
      </c>
      <c r="N4729" t="n">
        <v>0</v>
      </c>
      <c r="O4729" t="n">
        <v>0</v>
      </c>
      <c r="P4729" t="n">
        <v>0</v>
      </c>
      <c r="Q4729" t="n">
        <v>0</v>
      </c>
      <c r="R4729" s="2" t="inlineStr"/>
    </row>
    <row r="4730" ht="15" customHeight="1">
      <c r="A4730" t="inlineStr">
        <is>
          <t>A 23706-2020</t>
        </is>
      </c>
      <c r="B4730" s="1" t="n">
        <v>43969</v>
      </c>
      <c r="C4730" s="1" t="n">
        <v>45227</v>
      </c>
      <c r="D4730" t="inlineStr">
        <is>
          <t>VÄSTRA GÖTALANDS LÄN</t>
        </is>
      </c>
      <c r="E4730" t="inlineStr">
        <is>
          <t>ÅMÅL</t>
        </is>
      </c>
      <c r="F4730" t="inlineStr">
        <is>
          <t>Bergvik skog väst AB</t>
        </is>
      </c>
      <c r="G4730" t="n">
        <v>27.4</v>
      </c>
      <c r="H4730" t="n">
        <v>0</v>
      </c>
      <c r="I4730" t="n">
        <v>0</v>
      </c>
      <c r="J4730" t="n">
        <v>0</v>
      </c>
      <c r="K4730" t="n">
        <v>0</v>
      </c>
      <c r="L4730" t="n">
        <v>0</v>
      </c>
      <c r="M4730" t="n">
        <v>0</v>
      </c>
      <c r="N4730" t="n">
        <v>0</v>
      </c>
      <c r="O4730" t="n">
        <v>0</v>
      </c>
      <c r="P4730" t="n">
        <v>0</v>
      </c>
      <c r="Q4730" t="n">
        <v>0</v>
      </c>
      <c r="R4730" s="2" t="inlineStr"/>
    </row>
    <row r="4731" ht="15" customHeight="1">
      <c r="A4731" t="inlineStr">
        <is>
          <t>A 23544-2020</t>
        </is>
      </c>
      <c r="B4731" s="1" t="n">
        <v>43969</v>
      </c>
      <c r="C4731" s="1" t="n">
        <v>45227</v>
      </c>
      <c r="D4731" t="inlineStr">
        <is>
          <t>VÄSTRA GÖTALANDS LÄN</t>
        </is>
      </c>
      <c r="E4731" t="inlineStr">
        <is>
          <t>SKARA</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23629-2020</t>
        </is>
      </c>
      <c r="B4732" s="1" t="n">
        <v>43969</v>
      </c>
      <c r="C4732" s="1" t="n">
        <v>45227</v>
      </c>
      <c r="D4732" t="inlineStr">
        <is>
          <t>VÄSTRA GÖTALANDS LÄN</t>
        </is>
      </c>
      <c r="E4732" t="inlineStr">
        <is>
          <t>HERRLJUNGA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23882-2020</t>
        </is>
      </c>
      <c r="B4733" s="1" t="n">
        <v>43970</v>
      </c>
      <c r="C4733" s="1" t="n">
        <v>45227</v>
      </c>
      <c r="D4733" t="inlineStr">
        <is>
          <t>VÄSTRA GÖTALANDS LÄN</t>
        </is>
      </c>
      <c r="E4733" t="inlineStr">
        <is>
          <t>BENGTSFORS</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23788-2020</t>
        </is>
      </c>
      <c r="B4734" s="1" t="n">
        <v>43970</v>
      </c>
      <c r="C4734" s="1" t="n">
        <v>45227</v>
      </c>
      <c r="D4734" t="inlineStr">
        <is>
          <t>VÄSTRA GÖTALANDS LÄN</t>
        </is>
      </c>
      <c r="E4734" t="inlineStr">
        <is>
          <t>ÅMÅL</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23740-2020</t>
        </is>
      </c>
      <c r="B4735" s="1" t="n">
        <v>43970</v>
      </c>
      <c r="C4735" s="1" t="n">
        <v>45227</v>
      </c>
      <c r="D4735" t="inlineStr">
        <is>
          <t>VÄSTRA GÖTALANDS LÄN</t>
        </is>
      </c>
      <c r="E4735" t="inlineStr">
        <is>
          <t>TRANEMO</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23739-2020</t>
        </is>
      </c>
      <c r="B4736" s="1" t="n">
        <v>43970</v>
      </c>
      <c r="C4736" s="1" t="n">
        <v>45227</v>
      </c>
      <c r="D4736" t="inlineStr">
        <is>
          <t>VÄSTRA GÖTALANDS LÄN</t>
        </is>
      </c>
      <c r="E4736" t="inlineStr">
        <is>
          <t>MARIESTAD</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23824-2020</t>
        </is>
      </c>
      <c r="B4737" s="1" t="n">
        <v>43970</v>
      </c>
      <c r="C4737" s="1" t="n">
        <v>45227</v>
      </c>
      <c r="D4737" t="inlineStr">
        <is>
          <t>VÄSTRA GÖTALANDS LÄN</t>
        </is>
      </c>
      <c r="E4737" t="inlineStr">
        <is>
          <t>SKÖVDE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23879-2020</t>
        </is>
      </c>
      <c r="B4738" s="1" t="n">
        <v>43971</v>
      </c>
      <c r="C4738" s="1" t="n">
        <v>45227</v>
      </c>
      <c r="D4738" t="inlineStr">
        <is>
          <t>VÄSTRA GÖTALANDS LÄN</t>
        </is>
      </c>
      <c r="E4738" t="inlineStr">
        <is>
          <t>SVENLJUNGA</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24035-2020</t>
        </is>
      </c>
      <c r="B4739" s="1" t="n">
        <v>43971</v>
      </c>
      <c r="C4739" s="1" t="n">
        <v>45227</v>
      </c>
      <c r="D4739" t="inlineStr">
        <is>
          <t>VÄSTRA GÖTALANDS LÄN</t>
        </is>
      </c>
      <c r="E4739" t="inlineStr">
        <is>
          <t>MELLERUD</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23956-2020</t>
        </is>
      </c>
      <c r="B4740" s="1" t="n">
        <v>43971</v>
      </c>
      <c r="C4740" s="1" t="n">
        <v>45227</v>
      </c>
      <c r="D4740" t="inlineStr">
        <is>
          <t>VÄSTRA GÖTALANDS LÄN</t>
        </is>
      </c>
      <c r="E4740" t="inlineStr">
        <is>
          <t>LIDKÖPING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23965-2020</t>
        </is>
      </c>
      <c r="B4741" s="1" t="n">
        <v>43971</v>
      </c>
      <c r="C4741" s="1" t="n">
        <v>45227</v>
      </c>
      <c r="D4741" t="inlineStr">
        <is>
          <t>VÄSTRA GÖTALANDS LÄN</t>
        </is>
      </c>
      <c r="E4741" t="inlineStr">
        <is>
          <t>HERRLJUNGA</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23999-2020</t>
        </is>
      </c>
      <c r="B4742" s="1" t="n">
        <v>43971</v>
      </c>
      <c r="C4742" s="1" t="n">
        <v>45227</v>
      </c>
      <c r="D4742" t="inlineStr">
        <is>
          <t>VÄSTRA GÖTALANDS LÄN</t>
        </is>
      </c>
      <c r="E4742" t="inlineStr">
        <is>
          <t>BORÅS</t>
        </is>
      </c>
      <c r="F4742" t="inlineStr">
        <is>
          <t>Sveaskog</t>
        </is>
      </c>
      <c r="G4742" t="n">
        <v>4.6</v>
      </c>
      <c r="H4742" t="n">
        <v>0</v>
      </c>
      <c r="I4742" t="n">
        <v>0</v>
      </c>
      <c r="J4742" t="n">
        <v>0</v>
      </c>
      <c r="K4742" t="n">
        <v>0</v>
      </c>
      <c r="L4742" t="n">
        <v>0</v>
      </c>
      <c r="M4742" t="n">
        <v>0</v>
      </c>
      <c r="N4742" t="n">
        <v>0</v>
      </c>
      <c r="O4742" t="n">
        <v>0</v>
      </c>
      <c r="P4742" t="n">
        <v>0</v>
      </c>
      <c r="Q4742" t="n">
        <v>0</v>
      </c>
      <c r="R4742" s="2" t="inlineStr"/>
    </row>
    <row r="4743" ht="15" customHeight="1">
      <c r="A4743" t="inlineStr">
        <is>
          <t>A 24109-2020</t>
        </is>
      </c>
      <c r="B4743" s="1" t="n">
        <v>43973</v>
      </c>
      <c r="C4743" s="1" t="n">
        <v>45227</v>
      </c>
      <c r="D4743" t="inlineStr">
        <is>
          <t>VÄSTRA GÖTALANDS LÄN</t>
        </is>
      </c>
      <c r="E4743" t="inlineStr">
        <is>
          <t>KARLSBORG</t>
        </is>
      </c>
      <c r="F4743" t="inlineStr">
        <is>
          <t>Sveaskog</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24111-2020</t>
        </is>
      </c>
      <c r="B4744" s="1" t="n">
        <v>43973</v>
      </c>
      <c r="C4744" s="1" t="n">
        <v>45227</v>
      </c>
      <c r="D4744" t="inlineStr">
        <is>
          <t>VÄSTRA GÖTALANDS LÄN</t>
        </is>
      </c>
      <c r="E4744" t="inlineStr">
        <is>
          <t>MARIESTAD</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24139-2020</t>
        </is>
      </c>
      <c r="B4745" s="1" t="n">
        <v>43973</v>
      </c>
      <c r="C4745" s="1" t="n">
        <v>45227</v>
      </c>
      <c r="D4745" t="inlineStr">
        <is>
          <t>VÄSTRA GÖTALANDS LÄN</t>
        </is>
      </c>
      <c r="E4745" t="inlineStr">
        <is>
          <t>MARK</t>
        </is>
      </c>
      <c r="G4745" t="n">
        <v>3.1</v>
      </c>
      <c r="H4745" t="n">
        <v>0</v>
      </c>
      <c r="I4745" t="n">
        <v>0</v>
      </c>
      <c r="J4745" t="n">
        <v>0</v>
      </c>
      <c r="K4745" t="n">
        <v>0</v>
      </c>
      <c r="L4745" t="n">
        <v>0</v>
      </c>
      <c r="M4745" t="n">
        <v>0</v>
      </c>
      <c r="N4745" t="n">
        <v>0</v>
      </c>
      <c r="O4745" t="n">
        <v>0</v>
      </c>
      <c r="P4745" t="n">
        <v>0</v>
      </c>
      <c r="Q4745" t="n">
        <v>0</v>
      </c>
      <c r="R4745" s="2" t="inlineStr"/>
    </row>
    <row r="4746" ht="15" customHeight="1">
      <c r="A4746" t="inlineStr">
        <is>
          <t>A 24106-2020</t>
        </is>
      </c>
      <c r="B4746" s="1" t="n">
        <v>43973</v>
      </c>
      <c r="C4746" s="1" t="n">
        <v>45227</v>
      </c>
      <c r="D4746" t="inlineStr">
        <is>
          <t>VÄSTRA GÖTALANDS LÄN</t>
        </is>
      </c>
      <c r="E4746" t="inlineStr">
        <is>
          <t>KARLSBORG</t>
        </is>
      </c>
      <c r="F4746" t="inlineStr">
        <is>
          <t>Sveaskog</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24110-2020</t>
        </is>
      </c>
      <c r="B4747" s="1" t="n">
        <v>43973</v>
      </c>
      <c r="C4747" s="1" t="n">
        <v>45227</v>
      </c>
      <c r="D4747" t="inlineStr">
        <is>
          <t>VÄSTRA GÖTALANDS LÄN</t>
        </is>
      </c>
      <c r="E4747" t="inlineStr">
        <is>
          <t>KARLSBORG</t>
        </is>
      </c>
      <c r="F4747" t="inlineStr">
        <is>
          <t>Sveaskog</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24154-2020</t>
        </is>
      </c>
      <c r="B4748" s="1" t="n">
        <v>43974</v>
      </c>
      <c r="C4748" s="1" t="n">
        <v>45227</v>
      </c>
      <c r="D4748" t="inlineStr">
        <is>
          <t>VÄSTRA GÖTALANDS LÄN</t>
        </is>
      </c>
      <c r="E4748" t="inlineStr">
        <is>
          <t>ULRICEHAMN</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24177-2020</t>
        </is>
      </c>
      <c r="B4749" s="1" t="n">
        <v>43975</v>
      </c>
      <c r="C4749" s="1" t="n">
        <v>45227</v>
      </c>
      <c r="D4749" t="inlineStr">
        <is>
          <t>VÄSTRA GÖTALANDS LÄN</t>
        </is>
      </c>
      <c r="E4749" t="inlineStr">
        <is>
          <t>TIDAHOLM</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24498-2020</t>
        </is>
      </c>
      <c r="B4750" s="1" t="n">
        <v>43975</v>
      </c>
      <c r="C4750" s="1" t="n">
        <v>45227</v>
      </c>
      <c r="D4750" t="inlineStr">
        <is>
          <t>VÄSTRA GÖTALANDS LÄN</t>
        </is>
      </c>
      <c r="E4750" t="inlineStr">
        <is>
          <t>ALINGSÅS</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24388-2020</t>
        </is>
      </c>
      <c r="B4751" s="1" t="n">
        <v>43976</v>
      </c>
      <c r="C4751" s="1" t="n">
        <v>45227</v>
      </c>
      <c r="D4751" t="inlineStr">
        <is>
          <t>VÄSTRA GÖTALANDS LÄN</t>
        </is>
      </c>
      <c r="E4751" t="inlineStr">
        <is>
          <t>TRANEMO</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24288-2020</t>
        </is>
      </c>
      <c r="B4752" s="1" t="n">
        <v>43976</v>
      </c>
      <c r="C4752" s="1" t="n">
        <v>45227</v>
      </c>
      <c r="D4752" t="inlineStr">
        <is>
          <t>VÄSTRA GÖTALANDS LÄN</t>
        </is>
      </c>
      <c r="E4752" t="inlineStr">
        <is>
          <t>SKARA</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24214-2020</t>
        </is>
      </c>
      <c r="B4753" s="1" t="n">
        <v>43976</v>
      </c>
      <c r="C4753" s="1" t="n">
        <v>45227</v>
      </c>
      <c r="D4753" t="inlineStr">
        <is>
          <t>VÄSTRA GÖTALANDS LÄN</t>
        </is>
      </c>
      <c r="E4753" t="inlineStr">
        <is>
          <t>MARK</t>
        </is>
      </c>
      <c r="G4753" t="n">
        <v>2.8</v>
      </c>
      <c r="H4753" t="n">
        <v>0</v>
      </c>
      <c r="I4753" t="n">
        <v>0</v>
      </c>
      <c r="J4753" t="n">
        <v>0</v>
      </c>
      <c r="K4753" t="n">
        <v>0</v>
      </c>
      <c r="L4753" t="n">
        <v>0</v>
      </c>
      <c r="M4753" t="n">
        <v>0</v>
      </c>
      <c r="N4753" t="n">
        <v>0</v>
      </c>
      <c r="O4753" t="n">
        <v>0</v>
      </c>
      <c r="P4753" t="n">
        <v>0</v>
      </c>
      <c r="Q4753" t="n">
        <v>0</v>
      </c>
      <c r="R4753" s="2" t="inlineStr"/>
    </row>
    <row r="4754" ht="15" customHeight="1">
      <c r="A4754" t="inlineStr">
        <is>
          <t>A 24357-2020</t>
        </is>
      </c>
      <c r="B4754" s="1" t="n">
        <v>43976</v>
      </c>
      <c r="C4754" s="1" t="n">
        <v>45227</v>
      </c>
      <c r="D4754" t="inlineStr">
        <is>
          <t>VÄSTRA GÖTALANDS LÄN</t>
        </is>
      </c>
      <c r="E4754" t="inlineStr">
        <is>
          <t>LILLA EDET</t>
        </is>
      </c>
      <c r="G4754" t="n">
        <v>5</v>
      </c>
      <c r="H4754" t="n">
        <v>0</v>
      </c>
      <c r="I4754" t="n">
        <v>0</v>
      </c>
      <c r="J4754" t="n">
        <v>0</v>
      </c>
      <c r="K4754" t="n">
        <v>0</v>
      </c>
      <c r="L4754" t="n">
        <v>0</v>
      </c>
      <c r="M4754" t="n">
        <v>0</v>
      </c>
      <c r="N4754" t="n">
        <v>0</v>
      </c>
      <c r="O4754" t="n">
        <v>0</v>
      </c>
      <c r="P4754" t="n">
        <v>0</v>
      </c>
      <c r="Q4754" t="n">
        <v>0</v>
      </c>
      <c r="R4754" s="2" t="inlineStr"/>
    </row>
    <row r="4755" ht="15" customHeight="1">
      <c r="A4755" t="inlineStr">
        <is>
          <t>A 24973-2020</t>
        </is>
      </c>
      <c r="B4755" s="1" t="n">
        <v>43977</v>
      </c>
      <c r="C4755" s="1" t="n">
        <v>45227</v>
      </c>
      <c r="D4755" t="inlineStr">
        <is>
          <t>VÄSTRA GÖTALANDS LÄN</t>
        </is>
      </c>
      <c r="E4755" t="inlineStr">
        <is>
          <t>MUNKEDAL</t>
        </is>
      </c>
      <c r="F4755" t="inlineStr">
        <is>
          <t>Kommuner</t>
        </is>
      </c>
      <c r="G4755" t="n">
        <v>6</v>
      </c>
      <c r="H4755" t="n">
        <v>0</v>
      </c>
      <c r="I4755" t="n">
        <v>0</v>
      </c>
      <c r="J4755" t="n">
        <v>0</v>
      </c>
      <c r="K4755" t="n">
        <v>0</v>
      </c>
      <c r="L4755" t="n">
        <v>0</v>
      </c>
      <c r="M4755" t="n">
        <v>0</v>
      </c>
      <c r="N4755" t="n">
        <v>0</v>
      </c>
      <c r="O4755" t="n">
        <v>0</v>
      </c>
      <c r="P4755" t="n">
        <v>0</v>
      </c>
      <c r="Q4755" t="n">
        <v>0</v>
      </c>
      <c r="R4755" s="2" t="inlineStr"/>
    </row>
    <row r="4756" ht="15" customHeight="1">
      <c r="A4756" t="inlineStr">
        <is>
          <t>A 24553-2020</t>
        </is>
      </c>
      <c r="B4756" s="1" t="n">
        <v>43977</v>
      </c>
      <c r="C4756" s="1" t="n">
        <v>45227</v>
      </c>
      <c r="D4756" t="inlineStr">
        <is>
          <t>VÄSTRA GÖTALANDS LÄN</t>
        </is>
      </c>
      <c r="E4756" t="inlineStr">
        <is>
          <t>SKARA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24807-2020</t>
        </is>
      </c>
      <c r="B4757" s="1" t="n">
        <v>43978</v>
      </c>
      <c r="C4757" s="1" t="n">
        <v>45227</v>
      </c>
      <c r="D4757" t="inlineStr">
        <is>
          <t>VÄSTRA GÖTALANDS LÄN</t>
        </is>
      </c>
      <c r="E4757" t="inlineStr">
        <is>
          <t>TANUM</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24815-2020</t>
        </is>
      </c>
      <c r="B4758" s="1" t="n">
        <v>43978</v>
      </c>
      <c r="C4758" s="1" t="n">
        <v>45227</v>
      </c>
      <c r="D4758" t="inlineStr">
        <is>
          <t>VÄSTRA GÖTALANDS LÄN</t>
        </is>
      </c>
      <c r="E4758" t="inlineStr">
        <is>
          <t>TANUM</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24841-2020</t>
        </is>
      </c>
      <c r="B4759" s="1" t="n">
        <v>43978</v>
      </c>
      <c r="C4759" s="1" t="n">
        <v>45227</v>
      </c>
      <c r="D4759" t="inlineStr">
        <is>
          <t>VÄSTRA GÖTALANDS LÄN</t>
        </is>
      </c>
      <c r="E4759" t="inlineStr">
        <is>
          <t>KARLSBORG</t>
        </is>
      </c>
      <c r="F4759" t="inlineStr">
        <is>
          <t>Sveaskog</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24739-2020</t>
        </is>
      </c>
      <c r="B4760" s="1" t="n">
        <v>43978</v>
      </c>
      <c r="C4760" s="1" t="n">
        <v>45227</v>
      </c>
      <c r="D4760" t="inlineStr">
        <is>
          <t>VÄSTRA GÖTALANDS LÄN</t>
        </is>
      </c>
      <c r="E4760" t="inlineStr">
        <is>
          <t>VÅRGÅRDA</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24813-2020</t>
        </is>
      </c>
      <c r="B4761" s="1" t="n">
        <v>43978</v>
      </c>
      <c r="C4761" s="1" t="n">
        <v>45227</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24673-2020</t>
        </is>
      </c>
      <c r="B4762" s="1" t="n">
        <v>43978</v>
      </c>
      <c r="C4762" s="1" t="n">
        <v>45227</v>
      </c>
      <c r="D4762" t="inlineStr">
        <is>
          <t>VÄSTRA GÖTALANDS LÄN</t>
        </is>
      </c>
      <c r="E4762" t="inlineStr">
        <is>
          <t>ALINGSÅS</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24699-2020</t>
        </is>
      </c>
      <c r="B4763" s="1" t="n">
        <v>43978</v>
      </c>
      <c r="C4763" s="1" t="n">
        <v>45227</v>
      </c>
      <c r="D4763" t="inlineStr">
        <is>
          <t>VÄSTRA GÖTALANDS LÄN</t>
        </is>
      </c>
      <c r="E4763" t="inlineStr">
        <is>
          <t>KUNGÄLV</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24733-2020</t>
        </is>
      </c>
      <c r="B4764" s="1" t="n">
        <v>43978</v>
      </c>
      <c r="C4764" s="1" t="n">
        <v>45227</v>
      </c>
      <c r="D4764" t="inlineStr">
        <is>
          <t>VÄSTRA GÖTALANDS LÄN</t>
        </is>
      </c>
      <c r="E4764" t="inlineStr">
        <is>
          <t>HÄRRYDA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24768-2020</t>
        </is>
      </c>
      <c r="B4765" s="1" t="n">
        <v>43978</v>
      </c>
      <c r="C4765" s="1" t="n">
        <v>45227</v>
      </c>
      <c r="D4765" t="inlineStr">
        <is>
          <t>VÄSTRA GÖTALANDS LÄN</t>
        </is>
      </c>
      <c r="E4765" t="inlineStr">
        <is>
          <t>MARIESTAD</t>
        </is>
      </c>
      <c r="G4765" t="n">
        <v>11.5</v>
      </c>
      <c r="H4765" t="n">
        <v>0</v>
      </c>
      <c r="I4765" t="n">
        <v>0</v>
      </c>
      <c r="J4765" t="n">
        <v>0</v>
      </c>
      <c r="K4765" t="n">
        <v>0</v>
      </c>
      <c r="L4765" t="n">
        <v>0</v>
      </c>
      <c r="M4765" t="n">
        <v>0</v>
      </c>
      <c r="N4765" t="n">
        <v>0</v>
      </c>
      <c r="O4765" t="n">
        <v>0</v>
      </c>
      <c r="P4765" t="n">
        <v>0</v>
      </c>
      <c r="Q4765" t="n">
        <v>0</v>
      </c>
      <c r="R4765" s="2" t="inlineStr"/>
    </row>
    <row r="4766" ht="15" customHeight="1">
      <c r="A4766" t="inlineStr">
        <is>
          <t>A 24814-2020</t>
        </is>
      </c>
      <c r="B4766" s="1" t="n">
        <v>43978</v>
      </c>
      <c r="C4766" s="1" t="n">
        <v>45227</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24812-2020</t>
        </is>
      </c>
      <c r="B4767" s="1" t="n">
        <v>43978</v>
      </c>
      <c r="C4767" s="1" t="n">
        <v>45227</v>
      </c>
      <c r="D4767" t="inlineStr">
        <is>
          <t>VÄSTRA GÖTALANDS LÄN</t>
        </is>
      </c>
      <c r="E4767" t="inlineStr">
        <is>
          <t>GÖTENE</t>
        </is>
      </c>
      <c r="G4767" t="n">
        <v>2</v>
      </c>
      <c r="H4767" t="n">
        <v>0</v>
      </c>
      <c r="I4767" t="n">
        <v>0</v>
      </c>
      <c r="J4767" t="n">
        <v>0</v>
      </c>
      <c r="K4767" t="n">
        <v>0</v>
      </c>
      <c r="L4767" t="n">
        <v>0</v>
      </c>
      <c r="M4767" t="n">
        <v>0</v>
      </c>
      <c r="N4767" t="n">
        <v>0</v>
      </c>
      <c r="O4767" t="n">
        <v>0</v>
      </c>
      <c r="P4767" t="n">
        <v>0</v>
      </c>
      <c r="Q4767" t="n">
        <v>0</v>
      </c>
      <c r="R4767" s="2" t="inlineStr"/>
    </row>
    <row r="4768" ht="15" customHeight="1">
      <c r="A4768" t="inlineStr">
        <is>
          <t>A 24816-2020</t>
        </is>
      </c>
      <c r="B4768" s="1" t="n">
        <v>43978</v>
      </c>
      <c r="C4768" s="1" t="n">
        <v>45227</v>
      </c>
      <c r="D4768" t="inlineStr">
        <is>
          <t>VÄSTRA GÖTALANDS LÄN</t>
        </is>
      </c>
      <c r="E4768" t="inlineStr">
        <is>
          <t>TANUM</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24961-2020</t>
        </is>
      </c>
      <c r="B4769" s="1" t="n">
        <v>43979</v>
      </c>
      <c r="C4769" s="1" t="n">
        <v>45227</v>
      </c>
      <c r="D4769" t="inlineStr">
        <is>
          <t>VÄSTRA GÖTALANDS LÄN</t>
        </is>
      </c>
      <c r="E4769" t="inlineStr">
        <is>
          <t>LIDKÖPING</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24993-2020</t>
        </is>
      </c>
      <c r="B4770" s="1" t="n">
        <v>43979</v>
      </c>
      <c r="C4770" s="1" t="n">
        <v>45227</v>
      </c>
      <c r="D4770" t="inlineStr">
        <is>
          <t>VÄSTRA GÖTALANDS LÄN</t>
        </is>
      </c>
      <c r="E4770" t="inlineStr">
        <is>
          <t>GRÄSTORP</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25016-2020</t>
        </is>
      </c>
      <c r="B4771" s="1" t="n">
        <v>43979</v>
      </c>
      <c r="C4771" s="1" t="n">
        <v>45227</v>
      </c>
      <c r="D4771" t="inlineStr">
        <is>
          <t>VÄSTRA GÖTALANDS LÄN</t>
        </is>
      </c>
      <c r="E4771" t="inlineStr">
        <is>
          <t>LIDKÖPING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25062-2020</t>
        </is>
      </c>
      <c r="B4772" s="1" t="n">
        <v>43979</v>
      </c>
      <c r="C4772" s="1" t="n">
        <v>45227</v>
      </c>
      <c r="D4772" t="inlineStr">
        <is>
          <t>VÄSTRA GÖTALANDS LÄN</t>
        </is>
      </c>
      <c r="E4772" t="inlineStr">
        <is>
          <t>FÄRGELANDA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24895-2020</t>
        </is>
      </c>
      <c r="B4773" s="1" t="n">
        <v>43979</v>
      </c>
      <c r="C4773" s="1" t="n">
        <v>45227</v>
      </c>
      <c r="D4773" t="inlineStr">
        <is>
          <t>VÄSTRA GÖTALANDS LÄN</t>
        </is>
      </c>
      <c r="E4773" t="inlineStr">
        <is>
          <t>MARIESTAD</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24938-2020</t>
        </is>
      </c>
      <c r="B4774" s="1" t="n">
        <v>43979</v>
      </c>
      <c r="C4774" s="1" t="n">
        <v>45227</v>
      </c>
      <c r="D4774" t="inlineStr">
        <is>
          <t>VÄSTRA GÖTALANDS LÄN</t>
        </is>
      </c>
      <c r="E4774" t="inlineStr">
        <is>
          <t>MARIESTAD</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24953-2020</t>
        </is>
      </c>
      <c r="B4775" s="1" t="n">
        <v>43979</v>
      </c>
      <c r="C4775" s="1" t="n">
        <v>45227</v>
      </c>
      <c r="D4775" t="inlineStr">
        <is>
          <t>VÄSTRA GÖTALANDS LÄN</t>
        </is>
      </c>
      <c r="E4775" t="inlineStr">
        <is>
          <t>BORÅS</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25035-2020</t>
        </is>
      </c>
      <c r="B4776" s="1" t="n">
        <v>43979</v>
      </c>
      <c r="C4776" s="1" t="n">
        <v>45227</v>
      </c>
      <c r="D4776" t="inlineStr">
        <is>
          <t>VÄSTRA GÖTALANDS LÄN</t>
        </is>
      </c>
      <c r="E4776" t="inlineStr">
        <is>
          <t>ULRICEHAMN</t>
        </is>
      </c>
      <c r="G4776" t="n">
        <v>1.6</v>
      </c>
      <c r="H4776" t="n">
        <v>0</v>
      </c>
      <c r="I4776" t="n">
        <v>0</v>
      </c>
      <c r="J4776" t="n">
        <v>0</v>
      </c>
      <c r="K4776" t="n">
        <v>0</v>
      </c>
      <c r="L4776" t="n">
        <v>0</v>
      </c>
      <c r="M4776" t="n">
        <v>0</v>
      </c>
      <c r="N4776" t="n">
        <v>0</v>
      </c>
      <c r="O4776" t="n">
        <v>0</v>
      </c>
      <c r="P4776" t="n">
        <v>0</v>
      </c>
      <c r="Q4776" t="n">
        <v>0</v>
      </c>
      <c r="R4776" s="2" t="inlineStr"/>
    </row>
    <row r="4777" ht="15" customHeight="1">
      <c r="A4777" t="inlineStr">
        <is>
          <t>A 25020-2020</t>
        </is>
      </c>
      <c r="B4777" s="1" t="n">
        <v>43979</v>
      </c>
      <c r="C4777" s="1" t="n">
        <v>45227</v>
      </c>
      <c r="D4777" t="inlineStr">
        <is>
          <t>VÄSTRA GÖTALANDS LÄN</t>
        </is>
      </c>
      <c r="E4777" t="inlineStr">
        <is>
          <t>VARA</t>
        </is>
      </c>
      <c r="G4777" t="n">
        <v>4.5</v>
      </c>
      <c r="H4777" t="n">
        <v>0</v>
      </c>
      <c r="I4777" t="n">
        <v>0</v>
      </c>
      <c r="J4777" t="n">
        <v>0</v>
      </c>
      <c r="K4777" t="n">
        <v>0</v>
      </c>
      <c r="L4777" t="n">
        <v>0</v>
      </c>
      <c r="M4777" t="n">
        <v>0</v>
      </c>
      <c r="N4777" t="n">
        <v>0</v>
      </c>
      <c r="O4777" t="n">
        <v>0</v>
      </c>
      <c r="P4777" t="n">
        <v>0</v>
      </c>
      <c r="Q4777" t="n">
        <v>0</v>
      </c>
      <c r="R4777" s="2" t="inlineStr"/>
    </row>
    <row r="4778" ht="15" customHeight="1">
      <c r="A4778" t="inlineStr">
        <is>
          <t>A 25184-2020</t>
        </is>
      </c>
      <c r="B4778" s="1" t="n">
        <v>43980</v>
      </c>
      <c r="C4778" s="1" t="n">
        <v>45227</v>
      </c>
      <c r="D4778" t="inlineStr">
        <is>
          <t>VÄSTRA GÖTALANDS LÄN</t>
        </is>
      </c>
      <c r="E4778" t="inlineStr">
        <is>
          <t>MARK</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25204-2020</t>
        </is>
      </c>
      <c r="B4779" s="1" t="n">
        <v>43980</v>
      </c>
      <c r="C4779" s="1" t="n">
        <v>45227</v>
      </c>
      <c r="D4779" t="inlineStr">
        <is>
          <t>VÄSTRA GÖTALANDS LÄN</t>
        </is>
      </c>
      <c r="E4779" t="inlineStr">
        <is>
          <t>TRANEMO</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25187-2020</t>
        </is>
      </c>
      <c r="B4780" s="1" t="n">
        <v>43980</v>
      </c>
      <c r="C4780" s="1" t="n">
        <v>45227</v>
      </c>
      <c r="D4780" t="inlineStr">
        <is>
          <t>VÄSTRA GÖTALANDS LÄN</t>
        </is>
      </c>
      <c r="E4780" t="inlineStr">
        <is>
          <t>ESSUNGA</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25239-2020</t>
        </is>
      </c>
      <c r="B4781" s="1" t="n">
        <v>43980</v>
      </c>
      <c r="C4781" s="1" t="n">
        <v>45227</v>
      </c>
      <c r="D4781" t="inlineStr">
        <is>
          <t>VÄSTRA GÖTALANDS LÄN</t>
        </is>
      </c>
      <c r="E4781" t="inlineStr">
        <is>
          <t>ULRICEHAMN</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25405-2020</t>
        </is>
      </c>
      <c r="B4782" s="1" t="n">
        <v>43981</v>
      </c>
      <c r="C4782" s="1" t="n">
        <v>45227</v>
      </c>
      <c r="D4782" t="inlineStr">
        <is>
          <t>VÄSTRA GÖTALANDS LÄN</t>
        </is>
      </c>
      <c r="E4782" t="inlineStr">
        <is>
          <t>MARK</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25406-2020</t>
        </is>
      </c>
      <c r="B4783" s="1" t="n">
        <v>43981</v>
      </c>
      <c r="C4783" s="1" t="n">
        <v>45227</v>
      </c>
      <c r="D4783" t="inlineStr">
        <is>
          <t>VÄSTRA GÖTALANDS LÄN</t>
        </is>
      </c>
      <c r="E4783" t="inlineStr">
        <is>
          <t>MARK</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25574-2020</t>
        </is>
      </c>
      <c r="B4784" s="1" t="n">
        <v>43982</v>
      </c>
      <c r="C4784" s="1" t="n">
        <v>45227</v>
      </c>
      <c r="D4784" t="inlineStr">
        <is>
          <t>VÄSTRA GÖTALANDS LÄN</t>
        </is>
      </c>
      <c r="E4784" t="inlineStr">
        <is>
          <t>TANUM</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25578-2020</t>
        </is>
      </c>
      <c r="B4785" s="1" t="n">
        <v>43982</v>
      </c>
      <c r="C4785" s="1" t="n">
        <v>45227</v>
      </c>
      <c r="D4785" t="inlineStr">
        <is>
          <t>VÄSTRA GÖTALANDS LÄN</t>
        </is>
      </c>
      <c r="E4785" t="inlineStr">
        <is>
          <t>STRÖMSTAD</t>
        </is>
      </c>
      <c r="G4785" t="n">
        <v>3.3</v>
      </c>
      <c r="H4785" t="n">
        <v>0</v>
      </c>
      <c r="I4785" t="n">
        <v>0</v>
      </c>
      <c r="J4785" t="n">
        <v>0</v>
      </c>
      <c r="K4785" t="n">
        <v>0</v>
      </c>
      <c r="L4785" t="n">
        <v>0</v>
      </c>
      <c r="M4785" t="n">
        <v>0</v>
      </c>
      <c r="N4785" t="n">
        <v>0</v>
      </c>
      <c r="O4785" t="n">
        <v>0</v>
      </c>
      <c r="P4785" t="n">
        <v>0</v>
      </c>
      <c r="Q4785" t="n">
        <v>0</v>
      </c>
      <c r="R4785" s="2" t="inlineStr"/>
    </row>
    <row r="4786" ht="15" customHeight="1">
      <c r="A4786" t="inlineStr">
        <is>
          <t>A 25563-2020</t>
        </is>
      </c>
      <c r="B4786" s="1" t="n">
        <v>43983</v>
      </c>
      <c r="C4786" s="1" t="n">
        <v>45227</v>
      </c>
      <c r="D4786" t="inlineStr">
        <is>
          <t>VÄSTRA GÖTALANDS LÄN</t>
        </is>
      </c>
      <c r="E4786" t="inlineStr">
        <is>
          <t>SVENLJUNGA</t>
        </is>
      </c>
      <c r="F4786" t="inlineStr">
        <is>
          <t>Sveaskog</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25826-2020</t>
        </is>
      </c>
      <c r="B4787" s="1" t="n">
        <v>43983</v>
      </c>
      <c r="C4787" s="1" t="n">
        <v>45227</v>
      </c>
      <c r="D4787" t="inlineStr">
        <is>
          <t>VÄSTRA GÖTALANDS LÄN</t>
        </is>
      </c>
      <c r="E4787" t="inlineStr">
        <is>
          <t>MARK</t>
        </is>
      </c>
      <c r="F4787" t="inlineStr">
        <is>
          <t>Kyrkan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25847-2020</t>
        </is>
      </c>
      <c r="B4788" s="1" t="n">
        <v>43983</v>
      </c>
      <c r="C4788" s="1" t="n">
        <v>45227</v>
      </c>
      <c r="D4788" t="inlineStr">
        <is>
          <t>VÄSTRA GÖTALANDS LÄN</t>
        </is>
      </c>
      <c r="E4788" t="inlineStr">
        <is>
          <t>DALS-ED</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25455-2020</t>
        </is>
      </c>
      <c r="B4789" s="1" t="n">
        <v>43983</v>
      </c>
      <c r="C4789" s="1" t="n">
        <v>45227</v>
      </c>
      <c r="D4789" t="inlineStr">
        <is>
          <t>VÄSTRA GÖTALANDS LÄN</t>
        </is>
      </c>
      <c r="E4789" t="inlineStr">
        <is>
          <t>MUNKEDAL</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25833-2020</t>
        </is>
      </c>
      <c r="B4790" s="1" t="n">
        <v>43983</v>
      </c>
      <c r="C4790" s="1" t="n">
        <v>45227</v>
      </c>
      <c r="D4790" t="inlineStr">
        <is>
          <t>VÄSTRA GÖTALANDS LÄN</t>
        </is>
      </c>
      <c r="E4790" t="inlineStr">
        <is>
          <t>STRÖMSTAD</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25602-2020</t>
        </is>
      </c>
      <c r="B4791" s="1" t="n">
        <v>43983</v>
      </c>
      <c r="C4791" s="1" t="n">
        <v>45227</v>
      </c>
      <c r="D4791" t="inlineStr">
        <is>
          <t>VÄSTRA GÖTALANDS LÄN</t>
        </is>
      </c>
      <c r="E4791" t="inlineStr">
        <is>
          <t>VÄNERSBORG</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25729-2020</t>
        </is>
      </c>
      <c r="B4792" s="1" t="n">
        <v>43984</v>
      </c>
      <c r="C4792" s="1" t="n">
        <v>45227</v>
      </c>
      <c r="D4792" t="inlineStr">
        <is>
          <t>VÄSTRA GÖTALANDS LÄN</t>
        </is>
      </c>
      <c r="E4792" t="inlineStr">
        <is>
          <t>BORÅS</t>
        </is>
      </c>
      <c r="G4792" t="n">
        <v>5.3</v>
      </c>
      <c r="H4792" t="n">
        <v>0</v>
      </c>
      <c r="I4792" t="n">
        <v>0</v>
      </c>
      <c r="J4792" t="n">
        <v>0</v>
      </c>
      <c r="K4792" t="n">
        <v>0</v>
      </c>
      <c r="L4792" t="n">
        <v>0</v>
      </c>
      <c r="M4792" t="n">
        <v>0</v>
      </c>
      <c r="N4792" t="n">
        <v>0</v>
      </c>
      <c r="O4792" t="n">
        <v>0</v>
      </c>
      <c r="P4792" t="n">
        <v>0</v>
      </c>
      <c r="Q4792" t="n">
        <v>0</v>
      </c>
      <c r="R4792" s="2" t="inlineStr"/>
    </row>
    <row r="4793" ht="15" customHeight="1">
      <c r="A4793" t="inlineStr">
        <is>
          <t>A 25748-2020</t>
        </is>
      </c>
      <c r="B4793" s="1" t="n">
        <v>43984</v>
      </c>
      <c r="C4793" s="1" t="n">
        <v>45227</v>
      </c>
      <c r="D4793" t="inlineStr">
        <is>
          <t>VÄSTRA GÖTALANDS LÄN</t>
        </is>
      </c>
      <c r="E4793" t="inlineStr">
        <is>
          <t>LIDKÖPING</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25781-2020</t>
        </is>
      </c>
      <c r="B4794" s="1" t="n">
        <v>43984</v>
      </c>
      <c r="C4794" s="1" t="n">
        <v>45227</v>
      </c>
      <c r="D4794" t="inlineStr">
        <is>
          <t>VÄSTRA GÖTALANDS LÄN</t>
        </is>
      </c>
      <c r="E4794" t="inlineStr">
        <is>
          <t>VARA</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25820-2020</t>
        </is>
      </c>
      <c r="B4795" s="1" t="n">
        <v>43984</v>
      </c>
      <c r="C4795" s="1" t="n">
        <v>45227</v>
      </c>
      <c r="D4795" t="inlineStr">
        <is>
          <t>VÄSTRA GÖTALANDS LÄN</t>
        </is>
      </c>
      <c r="E4795" t="inlineStr">
        <is>
          <t>TANUM</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25743-2020</t>
        </is>
      </c>
      <c r="B4796" s="1" t="n">
        <v>43984</v>
      </c>
      <c r="C4796" s="1" t="n">
        <v>45227</v>
      </c>
      <c r="D4796" t="inlineStr">
        <is>
          <t>VÄSTRA GÖTALANDS LÄN</t>
        </is>
      </c>
      <c r="E4796" t="inlineStr">
        <is>
          <t>LIDKÖPING</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25777-2020</t>
        </is>
      </c>
      <c r="B4797" s="1" t="n">
        <v>43984</v>
      </c>
      <c r="C4797" s="1" t="n">
        <v>45227</v>
      </c>
      <c r="D4797" t="inlineStr">
        <is>
          <t>VÄSTRA GÖTALANDS LÄN</t>
        </is>
      </c>
      <c r="E4797" t="inlineStr">
        <is>
          <t>GRÄSTORP</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25789-2020</t>
        </is>
      </c>
      <c r="B4798" s="1" t="n">
        <v>43984</v>
      </c>
      <c r="C4798" s="1" t="n">
        <v>45227</v>
      </c>
      <c r="D4798" t="inlineStr">
        <is>
          <t>VÄSTRA GÖTALANDS LÄN</t>
        </is>
      </c>
      <c r="E4798" t="inlineStr">
        <is>
          <t>BOLLEBYGD</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25740-2020</t>
        </is>
      </c>
      <c r="B4799" s="1" t="n">
        <v>43984</v>
      </c>
      <c r="C4799" s="1" t="n">
        <v>45227</v>
      </c>
      <c r="D4799" t="inlineStr">
        <is>
          <t>VÄSTRA GÖTALANDS LÄN</t>
        </is>
      </c>
      <c r="E4799" t="inlineStr">
        <is>
          <t>KARLSBORG</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25787-2020</t>
        </is>
      </c>
      <c r="B4800" s="1" t="n">
        <v>43984</v>
      </c>
      <c r="C4800" s="1" t="n">
        <v>45227</v>
      </c>
      <c r="D4800" t="inlineStr">
        <is>
          <t>VÄSTRA GÖTALANDS LÄN</t>
        </is>
      </c>
      <c r="E4800" t="inlineStr">
        <is>
          <t>BOLLEBYGD</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25882-2020</t>
        </is>
      </c>
      <c r="B4801" s="1" t="n">
        <v>43984</v>
      </c>
      <c r="C4801" s="1" t="n">
        <v>45227</v>
      </c>
      <c r="D4801" t="inlineStr">
        <is>
          <t>VÄSTRA GÖTALANDS LÄN</t>
        </is>
      </c>
      <c r="E4801" t="inlineStr">
        <is>
          <t>ALINGSÅS</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25987-2020</t>
        </is>
      </c>
      <c r="B4802" s="1" t="n">
        <v>43985</v>
      </c>
      <c r="C4802" s="1" t="n">
        <v>45227</v>
      </c>
      <c r="D4802" t="inlineStr">
        <is>
          <t>VÄSTRA GÖTALANDS LÄN</t>
        </is>
      </c>
      <c r="E4802" t="inlineStr">
        <is>
          <t>FÄRGELANDA</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26035-2020</t>
        </is>
      </c>
      <c r="B4803" s="1" t="n">
        <v>43985</v>
      </c>
      <c r="C4803" s="1" t="n">
        <v>45227</v>
      </c>
      <c r="D4803" t="inlineStr">
        <is>
          <t>VÄSTRA GÖTALANDS LÄN</t>
        </is>
      </c>
      <c r="E4803" t="inlineStr">
        <is>
          <t>ALINGSÅS</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25985-2020</t>
        </is>
      </c>
      <c r="B4804" s="1" t="n">
        <v>43985</v>
      </c>
      <c r="C4804" s="1" t="n">
        <v>45227</v>
      </c>
      <c r="D4804" t="inlineStr">
        <is>
          <t>VÄSTRA GÖTALANDS LÄN</t>
        </is>
      </c>
      <c r="E4804" t="inlineStr">
        <is>
          <t>MARK</t>
        </is>
      </c>
      <c r="G4804" t="n">
        <v>4.3</v>
      </c>
      <c r="H4804" t="n">
        <v>0</v>
      </c>
      <c r="I4804" t="n">
        <v>0</v>
      </c>
      <c r="J4804" t="n">
        <v>0</v>
      </c>
      <c r="K4804" t="n">
        <v>0</v>
      </c>
      <c r="L4804" t="n">
        <v>0</v>
      </c>
      <c r="M4804" t="n">
        <v>0</v>
      </c>
      <c r="N4804" t="n">
        <v>0</v>
      </c>
      <c r="O4804" t="n">
        <v>0</v>
      </c>
      <c r="P4804" t="n">
        <v>0</v>
      </c>
      <c r="Q4804" t="n">
        <v>0</v>
      </c>
      <c r="R4804" s="2" t="inlineStr"/>
    </row>
    <row r="4805" ht="15" customHeight="1">
      <c r="A4805" t="inlineStr">
        <is>
          <t>A 26026-2020</t>
        </is>
      </c>
      <c r="B4805" s="1" t="n">
        <v>43985</v>
      </c>
      <c r="C4805" s="1" t="n">
        <v>45227</v>
      </c>
      <c r="D4805" t="inlineStr">
        <is>
          <t>VÄSTRA GÖTALANDS LÄN</t>
        </is>
      </c>
      <c r="E4805" t="inlineStr">
        <is>
          <t>TRANEMO</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26349-2020</t>
        </is>
      </c>
      <c r="B4806" s="1" t="n">
        <v>43986</v>
      </c>
      <c r="C4806" s="1" t="n">
        <v>45227</v>
      </c>
      <c r="D4806" t="inlineStr">
        <is>
          <t>VÄSTRA GÖTALANDS LÄN</t>
        </is>
      </c>
      <c r="E4806" t="inlineStr">
        <is>
          <t>ALINGSÅS</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26277-2020</t>
        </is>
      </c>
      <c r="B4807" s="1" t="n">
        <v>43986</v>
      </c>
      <c r="C4807" s="1" t="n">
        <v>45227</v>
      </c>
      <c r="D4807" t="inlineStr">
        <is>
          <t>VÄSTRA GÖTALANDS LÄN</t>
        </is>
      </c>
      <c r="E4807" t="inlineStr">
        <is>
          <t>ALINGSÅS</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26332-2020</t>
        </is>
      </c>
      <c r="B4808" s="1" t="n">
        <v>43986</v>
      </c>
      <c r="C4808" s="1" t="n">
        <v>45227</v>
      </c>
      <c r="D4808" t="inlineStr">
        <is>
          <t>VÄSTRA GÖTALANDS LÄN</t>
        </is>
      </c>
      <c r="E4808" t="inlineStr">
        <is>
          <t>SKÖVDE</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26223-2020</t>
        </is>
      </c>
      <c r="B4809" s="1" t="n">
        <v>43986</v>
      </c>
      <c r="C4809" s="1" t="n">
        <v>45227</v>
      </c>
      <c r="D4809" t="inlineStr">
        <is>
          <t>VÄSTRA GÖTALANDS LÄN</t>
        </is>
      </c>
      <c r="E4809" t="inlineStr">
        <is>
          <t>ULRICEHAMN</t>
        </is>
      </c>
      <c r="F4809" t="inlineStr">
        <is>
          <t>Sveaskog</t>
        </is>
      </c>
      <c r="G4809" t="n">
        <v>4</v>
      </c>
      <c r="H4809" t="n">
        <v>0</v>
      </c>
      <c r="I4809" t="n">
        <v>0</v>
      </c>
      <c r="J4809" t="n">
        <v>0</v>
      </c>
      <c r="K4809" t="n">
        <v>0</v>
      </c>
      <c r="L4809" t="n">
        <v>0</v>
      </c>
      <c r="M4809" t="n">
        <v>0</v>
      </c>
      <c r="N4809" t="n">
        <v>0</v>
      </c>
      <c r="O4809" t="n">
        <v>0</v>
      </c>
      <c r="P4809" t="n">
        <v>0</v>
      </c>
      <c r="Q4809" t="n">
        <v>0</v>
      </c>
      <c r="R4809" s="2" t="inlineStr"/>
    </row>
    <row r="4810" ht="15" customHeight="1">
      <c r="A4810" t="inlineStr">
        <is>
          <t>A 26333-2020</t>
        </is>
      </c>
      <c r="B4810" s="1" t="n">
        <v>43986</v>
      </c>
      <c r="C4810" s="1" t="n">
        <v>45227</v>
      </c>
      <c r="D4810" t="inlineStr">
        <is>
          <t>VÄSTRA GÖTALANDS LÄN</t>
        </is>
      </c>
      <c r="E4810" t="inlineStr">
        <is>
          <t>SVENLJUNGA</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26347-2020</t>
        </is>
      </c>
      <c r="B4811" s="1" t="n">
        <v>43986</v>
      </c>
      <c r="C4811" s="1" t="n">
        <v>45227</v>
      </c>
      <c r="D4811" t="inlineStr">
        <is>
          <t>VÄSTRA GÖTALANDS LÄN</t>
        </is>
      </c>
      <c r="E4811" t="inlineStr">
        <is>
          <t>SVENLJUNGA</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26412-2020</t>
        </is>
      </c>
      <c r="B4812" s="1" t="n">
        <v>43987</v>
      </c>
      <c r="C4812" s="1" t="n">
        <v>45227</v>
      </c>
      <c r="D4812" t="inlineStr">
        <is>
          <t>VÄSTRA GÖTALANDS LÄN</t>
        </is>
      </c>
      <c r="E4812" t="inlineStr">
        <is>
          <t>BOLLEBYGD</t>
        </is>
      </c>
      <c r="G4812" t="n">
        <v>3.7</v>
      </c>
      <c r="H4812" t="n">
        <v>0</v>
      </c>
      <c r="I4812" t="n">
        <v>0</v>
      </c>
      <c r="J4812" t="n">
        <v>0</v>
      </c>
      <c r="K4812" t="n">
        <v>0</v>
      </c>
      <c r="L4812" t="n">
        <v>0</v>
      </c>
      <c r="M4812" t="n">
        <v>0</v>
      </c>
      <c r="N4812" t="n">
        <v>0</v>
      </c>
      <c r="O4812" t="n">
        <v>0</v>
      </c>
      <c r="P4812" t="n">
        <v>0</v>
      </c>
      <c r="Q4812" t="n">
        <v>0</v>
      </c>
      <c r="R4812" s="2" t="inlineStr"/>
    </row>
    <row r="4813" ht="15" customHeight="1">
      <c r="A4813" t="inlineStr">
        <is>
          <t>A 26449-2020</t>
        </is>
      </c>
      <c r="B4813" s="1" t="n">
        <v>43987</v>
      </c>
      <c r="C4813" s="1" t="n">
        <v>45227</v>
      </c>
      <c r="D4813" t="inlineStr">
        <is>
          <t>VÄSTRA GÖTALANDS LÄN</t>
        </is>
      </c>
      <c r="E4813" t="inlineStr">
        <is>
          <t>MARK</t>
        </is>
      </c>
      <c r="G4813" t="n">
        <v>8.199999999999999</v>
      </c>
      <c r="H4813" t="n">
        <v>0</v>
      </c>
      <c r="I4813" t="n">
        <v>0</v>
      </c>
      <c r="J4813" t="n">
        <v>0</v>
      </c>
      <c r="K4813" t="n">
        <v>0</v>
      </c>
      <c r="L4813" t="n">
        <v>0</v>
      </c>
      <c r="M4813" t="n">
        <v>0</v>
      </c>
      <c r="N4813" t="n">
        <v>0</v>
      </c>
      <c r="O4813" t="n">
        <v>0</v>
      </c>
      <c r="P4813" t="n">
        <v>0</v>
      </c>
      <c r="Q4813" t="n">
        <v>0</v>
      </c>
      <c r="R4813" s="2" t="inlineStr"/>
    </row>
    <row r="4814" ht="15" customHeight="1">
      <c r="A4814" t="inlineStr">
        <is>
          <t>A 26481-2020</t>
        </is>
      </c>
      <c r="B4814" s="1" t="n">
        <v>43987</v>
      </c>
      <c r="C4814" s="1" t="n">
        <v>45227</v>
      </c>
      <c r="D4814" t="inlineStr">
        <is>
          <t>VÄSTRA GÖTALANDS LÄN</t>
        </is>
      </c>
      <c r="E4814" t="inlineStr">
        <is>
          <t>MARIESTAD</t>
        </is>
      </c>
      <c r="F4814" t="inlineStr">
        <is>
          <t>Kommuner</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26521-2020</t>
        </is>
      </c>
      <c r="B4815" s="1" t="n">
        <v>43987</v>
      </c>
      <c r="C4815" s="1" t="n">
        <v>45227</v>
      </c>
      <c r="D4815" t="inlineStr">
        <is>
          <t>VÄSTRA GÖTALANDS LÄN</t>
        </is>
      </c>
      <c r="E4815" t="inlineStr">
        <is>
          <t>ESSUNGA</t>
        </is>
      </c>
      <c r="G4815" t="n">
        <v>13.1</v>
      </c>
      <c r="H4815" t="n">
        <v>0</v>
      </c>
      <c r="I4815" t="n">
        <v>0</v>
      </c>
      <c r="J4815" t="n">
        <v>0</v>
      </c>
      <c r="K4815" t="n">
        <v>0</v>
      </c>
      <c r="L4815" t="n">
        <v>0</v>
      </c>
      <c r="M4815" t="n">
        <v>0</v>
      </c>
      <c r="N4815" t="n">
        <v>0</v>
      </c>
      <c r="O4815" t="n">
        <v>0</v>
      </c>
      <c r="P4815" t="n">
        <v>0</v>
      </c>
      <c r="Q4815" t="n">
        <v>0</v>
      </c>
      <c r="R4815" s="2" t="inlineStr"/>
    </row>
    <row r="4816" ht="15" customHeight="1">
      <c r="A4816" t="inlineStr">
        <is>
          <t>A 26395-2020</t>
        </is>
      </c>
      <c r="B4816" s="1" t="n">
        <v>43987</v>
      </c>
      <c r="C4816" s="1" t="n">
        <v>45227</v>
      </c>
      <c r="D4816" t="inlineStr">
        <is>
          <t>VÄSTRA GÖTALANDS LÄN</t>
        </is>
      </c>
      <c r="E4816" t="inlineStr">
        <is>
          <t>BOLLEBYGD</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26417-2020</t>
        </is>
      </c>
      <c r="B4817" s="1" t="n">
        <v>43987</v>
      </c>
      <c r="C4817" s="1" t="n">
        <v>45227</v>
      </c>
      <c r="D4817" t="inlineStr">
        <is>
          <t>VÄSTRA GÖTALANDS LÄN</t>
        </is>
      </c>
      <c r="E4817" t="inlineStr">
        <is>
          <t>MUNKEDAL</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26400-2020</t>
        </is>
      </c>
      <c r="B4818" s="1" t="n">
        <v>43987</v>
      </c>
      <c r="C4818" s="1" t="n">
        <v>45227</v>
      </c>
      <c r="D4818" t="inlineStr">
        <is>
          <t>VÄSTRA GÖTALANDS LÄN</t>
        </is>
      </c>
      <c r="E4818" t="inlineStr">
        <is>
          <t>BOLLEBYGD</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26544-2020</t>
        </is>
      </c>
      <c r="B4819" s="1" t="n">
        <v>43987</v>
      </c>
      <c r="C4819" s="1" t="n">
        <v>45227</v>
      </c>
      <c r="D4819" t="inlineStr">
        <is>
          <t>VÄSTRA GÖTALANDS LÄN</t>
        </is>
      </c>
      <c r="E4819" t="inlineStr">
        <is>
          <t>MARK</t>
        </is>
      </c>
      <c r="G4819" t="n">
        <v>5.5</v>
      </c>
      <c r="H4819" t="n">
        <v>0</v>
      </c>
      <c r="I4819" t="n">
        <v>0</v>
      </c>
      <c r="J4819" t="n">
        <v>0</v>
      </c>
      <c r="K4819" t="n">
        <v>0</v>
      </c>
      <c r="L4819" t="n">
        <v>0</v>
      </c>
      <c r="M4819" t="n">
        <v>0</v>
      </c>
      <c r="N4819" t="n">
        <v>0</v>
      </c>
      <c r="O4819" t="n">
        <v>0</v>
      </c>
      <c r="P4819" t="n">
        <v>0</v>
      </c>
      <c r="Q4819" t="n">
        <v>0</v>
      </c>
      <c r="R4819" s="2" t="inlineStr"/>
    </row>
    <row r="4820" ht="15" customHeight="1">
      <c r="A4820" t="inlineStr">
        <is>
          <t>A 26804-2020</t>
        </is>
      </c>
      <c r="B4820" s="1" t="n">
        <v>43987</v>
      </c>
      <c r="C4820" s="1" t="n">
        <v>45227</v>
      </c>
      <c r="D4820" t="inlineStr">
        <is>
          <t>VÄSTRA GÖTALANDS LÄN</t>
        </is>
      </c>
      <c r="E4820" t="inlineStr">
        <is>
          <t>DALS-ED</t>
        </is>
      </c>
      <c r="G4820" t="n">
        <v>3.3</v>
      </c>
      <c r="H4820" t="n">
        <v>0</v>
      </c>
      <c r="I4820" t="n">
        <v>0</v>
      </c>
      <c r="J4820" t="n">
        <v>0</v>
      </c>
      <c r="K4820" t="n">
        <v>0</v>
      </c>
      <c r="L4820" t="n">
        <v>0</v>
      </c>
      <c r="M4820" t="n">
        <v>0</v>
      </c>
      <c r="N4820" t="n">
        <v>0</v>
      </c>
      <c r="O4820" t="n">
        <v>0</v>
      </c>
      <c r="P4820" t="n">
        <v>0</v>
      </c>
      <c r="Q4820" t="n">
        <v>0</v>
      </c>
      <c r="R4820" s="2" t="inlineStr"/>
    </row>
    <row r="4821" ht="15" customHeight="1">
      <c r="A4821" t="inlineStr">
        <is>
          <t>A 26741-2020</t>
        </is>
      </c>
      <c r="B4821" s="1" t="n">
        <v>43988</v>
      </c>
      <c r="C4821" s="1" t="n">
        <v>45227</v>
      </c>
      <c r="D4821" t="inlineStr">
        <is>
          <t>VÄSTRA GÖTALANDS LÄN</t>
        </is>
      </c>
      <c r="E4821" t="inlineStr">
        <is>
          <t>MELLERUD</t>
        </is>
      </c>
      <c r="G4821" t="n">
        <v>15.4</v>
      </c>
      <c r="H4821" t="n">
        <v>0</v>
      </c>
      <c r="I4821" t="n">
        <v>0</v>
      </c>
      <c r="J4821" t="n">
        <v>0</v>
      </c>
      <c r="K4821" t="n">
        <v>0</v>
      </c>
      <c r="L4821" t="n">
        <v>0</v>
      </c>
      <c r="M4821" t="n">
        <v>0</v>
      </c>
      <c r="N4821" t="n">
        <v>0</v>
      </c>
      <c r="O4821" t="n">
        <v>0</v>
      </c>
      <c r="P4821" t="n">
        <v>0</v>
      </c>
      <c r="Q4821" t="n">
        <v>0</v>
      </c>
      <c r="R4821" s="2" t="inlineStr"/>
    </row>
    <row r="4822" ht="15" customHeight="1">
      <c r="A4822" t="inlineStr">
        <is>
          <t>A 26663-2020</t>
        </is>
      </c>
      <c r="B4822" s="1" t="n">
        <v>43989</v>
      </c>
      <c r="C4822" s="1" t="n">
        <v>45227</v>
      </c>
      <c r="D4822" t="inlineStr">
        <is>
          <t>VÄSTRA GÖTALANDS LÄN</t>
        </is>
      </c>
      <c r="E4822" t="inlineStr">
        <is>
          <t>FALKÖPING</t>
        </is>
      </c>
      <c r="G4822" t="n">
        <v>5.1</v>
      </c>
      <c r="H4822" t="n">
        <v>0</v>
      </c>
      <c r="I4822" t="n">
        <v>0</v>
      </c>
      <c r="J4822" t="n">
        <v>0</v>
      </c>
      <c r="K4822" t="n">
        <v>0</v>
      </c>
      <c r="L4822" t="n">
        <v>0</v>
      </c>
      <c r="M4822" t="n">
        <v>0</v>
      </c>
      <c r="N4822" t="n">
        <v>0</v>
      </c>
      <c r="O4822" t="n">
        <v>0</v>
      </c>
      <c r="P4822" t="n">
        <v>0</v>
      </c>
      <c r="Q4822" t="n">
        <v>0</v>
      </c>
      <c r="R4822" s="2" t="inlineStr"/>
    </row>
    <row r="4823" ht="15" customHeight="1">
      <c r="A4823" t="inlineStr">
        <is>
          <t>A 26704-2020</t>
        </is>
      </c>
      <c r="B4823" s="1" t="n">
        <v>43990</v>
      </c>
      <c r="C4823" s="1" t="n">
        <v>45227</v>
      </c>
      <c r="D4823" t="inlineStr">
        <is>
          <t>VÄSTRA GÖTALANDS LÄN</t>
        </is>
      </c>
      <c r="E4823" t="inlineStr">
        <is>
          <t>SKARA</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26753-2020</t>
        </is>
      </c>
      <c r="B4824" s="1" t="n">
        <v>43990</v>
      </c>
      <c r="C4824" s="1" t="n">
        <v>45227</v>
      </c>
      <c r="D4824" t="inlineStr">
        <is>
          <t>VÄSTRA GÖTALANDS LÄN</t>
        </is>
      </c>
      <c r="E4824" t="inlineStr">
        <is>
          <t>KARLSBORG</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26760-2020</t>
        </is>
      </c>
      <c r="B4825" s="1" t="n">
        <v>43990</v>
      </c>
      <c r="C4825" s="1" t="n">
        <v>45227</v>
      </c>
      <c r="D4825" t="inlineStr">
        <is>
          <t>VÄSTRA GÖTALANDS LÄN</t>
        </is>
      </c>
      <c r="E4825" t="inlineStr">
        <is>
          <t>MELLERUD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26893-2020</t>
        </is>
      </c>
      <c r="B4826" s="1" t="n">
        <v>43990</v>
      </c>
      <c r="C4826" s="1" t="n">
        <v>45227</v>
      </c>
      <c r="D4826" t="inlineStr">
        <is>
          <t>VÄSTRA GÖTALANDS LÄN</t>
        </is>
      </c>
      <c r="E4826" t="inlineStr">
        <is>
          <t>FALKÖPING</t>
        </is>
      </c>
      <c r="G4826" t="n">
        <v>2.5</v>
      </c>
      <c r="H4826" t="n">
        <v>0</v>
      </c>
      <c r="I4826" t="n">
        <v>0</v>
      </c>
      <c r="J4826" t="n">
        <v>0</v>
      </c>
      <c r="K4826" t="n">
        <v>0</v>
      </c>
      <c r="L4826" t="n">
        <v>0</v>
      </c>
      <c r="M4826" t="n">
        <v>0</v>
      </c>
      <c r="N4826" t="n">
        <v>0</v>
      </c>
      <c r="O4826" t="n">
        <v>0</v>
      </c>
      <c r="P4826" t="n">
        <v>0</v>
      </c>
      <c r="Q4826" t="n">
        <v>0</v>
      </c>
      <c r="R4826" s="2" t="inlineStr"/>
    </row>
    <row r="4827" ht="15" customHeight="1">
      <c r="A4827" t="inlineStr">
        <is>
          <t>A 27089-2020</t>
        </is>
      </c>
      <c r="B4827" s="1" t="n">
        <v>43990</v>
      </c>
      <c r="C4827" s="1" t="n">
        <v>45227</v>
      </c>
      <c r="D4827" t="inlineStr">
        <is>
          <t>VÄSTRA GÖTALANDS LÄN</t>
        </is>
      </c>
      <c r="E4827" t="inlineStr">
        <is>
          <t>MARIESTAD</t>
        </is>
      </c>
      <c r="G4827" t="n">
        <v>0.2</v>
      </c>
      <c r="H4827" t="n">
        <v>0</v>
      </c>
      <c r="I4827" t="n">
        <v>0</v>
      </c>
      <c r="J4827" t="n">
        <v>0</v>
      </c>
      <c r="K4827" t="n">
        <v>0</v>
      </c>
      <c r="L4827" t="n">
        <v>0</v>
      </c>
      <c r="M4827" t="n">
        <v>0</v>
      </c>
      <c r="N4827" t="n">
        <v>0</v>
      </c>
      <c r="O4827" t="n">
        <v>0</v>
      </c>
      <c r="P4827" t="n">
        <v>0</v>
      </c>
      <c r="Q4827" t="n">
        <v>0</v>
      </c>
      <c r="R4827" s="2" t="inlineStr"/>
    </row>
    <row r="4828" ht="15" customHeight="1">
      <c r="A4828" t="inlineStr">
        <is>
          <t>A 26702-2020</t>
        </is>
      </c>
      <c r="B4828" s="1" t="n">
        <v>43990</v>
      </c>
      <c r="C4828" s="1" t="n">
        <v>45227</v>
      </c>
      <c r="D4828" t="inlineStr">
        <is>
          <t>VÄSTRA GÖTALANDS LÄN</t>
        </is>
      </c>
      <c r="E4828" t="inlineStr">
        <is>
          <t>SKARA</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27022-2020</t>
        </is>
      </c>
      <c r="B4829" s="1" t="n">
        <v>43991</v>
      </c>
      <c r="C4829" s="1" t="n">
        <v>45227</v>
      </c>
      <c r="D4829" t="inlineStr">
        <is>
          <t>VÄSTRA GÖTALANDS LÄN</t>
        </is>
      </c>
      <c r="E4829" t="inlineStr">
        <is>
          <t>HERRLJUNGA</t>
        </is>
      </c>
      <c r="G4829" t="n">
        <v>3.1</v>
      </c>
      <c r="H4829" t="n">
        <v>0</v>
      </c>
      <c r="I4829" t="n">
        <v>0</v>
      </c>
      <c r="J4829" t="n">
        <v>0</v>
      </c>
      <c r="K4829" t="n">
        <v>0</v>
      </c>
      <c r="L4829" t="n">
        <v>0</v>
      </c>
      <c r="M4829" t="n">
        <v>0</v>
      </c>
      <c r="N4829" t="n">
        <v>0</v>
      </c>
      <c r="O4829" t="n">
        <v>0</v>
      </c>
      <c r="P4829" t="n">
        <v>0</v>
      </c>
      <c r="Q4829" t="n">
        <v>0</v>
      </c>
      <c r="R4829" s="2" t="inlineStr"/>
    </row>
    <row r="4830" ht="15" customHeight="1">
      <c r="A4830" t="inlineStr">
        <is>
          <t>A 27116-2020</t>
        </is>
      </c>
      <c r="B4830" s="1" t="n">
        <v>43991</v>
      </c>
      <c r="C4830" s="1" t="n">
        <v>45227</v>
      </c>
      <c r="D4830" t="inlineStr">
        <is>
          <t>VÄSTRA GÖTALANDS LÄN</t>
        </is>
      </c>
      <c r="E4830" t="inlineStr">
        <is>
          <t>SVENLJUNGA</t>
        </is>
      </c>
      <c r="G4830" t="n">
        <v>4.5</v>
      </c>
      <c r="H4830" t="n">
        <v>0</v>
      </c>
      <c r="I4830" t="n">
        <v>0</v>
      </c>
      <c r="J4830" t="n">
        <v>0</v>
      </c>
      <c r="K4830" t="n">
        <v>0</v>
      </c>
      <c r="L4830" t="n">
        <v>0</v>
      </c>
      <c r="M4830" t="n">
        <v>0</v>
      </c>
      <c r="N4830" t="n">
        <v>0</v>
      </c>
      <c r="O4830" t="n">
        <v>0</v>
      </c>
      <c r="P4830" t="n">
        <v>0</v>
      </c>
      <c r="Q4830" t="n">
        <v>0</v>
      </c>
      <c r="R4830" s="2" t="inlineStr"/>
    </row>
    <row r="4831" ht="15" customHeight="1">
      <c r="A4831" t="inlineStr">
        <is>
          <t>A 27477-2020</t>
        </is>
      </c>
      <c r="B4831" s="1" t="n">
        <v>43991</v>
      </c>
      <c r="C4831" s="1" t="n">
        <v>45227</v>
      </c>
      <c r="D4831" t="inlineStr">
        <is>
          <t>VÄSTRA GÖTALANDS LÄN</t>
        </is>
      </c>
      <c r="E4831" t="inlineStr">
        <is>
          <t>UDDEVALLA</t>
        </is>
      </c>
      <c r="G4831" t="n">
        <v>5.4</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45227</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45227</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45227</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45227</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45227</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45227</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45227</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45227</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45227</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45227</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45227</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45227</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45227</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45227</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45227</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45227</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45227</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45227</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45227</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45227</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45227</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45227</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45227</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45227</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45227</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45227</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45227</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45227</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45227</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45227</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45227</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45227</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45227</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45227</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45227</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45227</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45227</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45227</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45227</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45227</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45227</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45227</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45227</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45227</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45227</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45227</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45227</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45227</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45227</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45227</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45227</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45227</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45227</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45227</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45227</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45227</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45227</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45227</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45227</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45227</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45227</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45227</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45227</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45227</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45227</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45227</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45227</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45227</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45227</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45227</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45227</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45227</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45227</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45227</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45227</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45227</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45227</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45227</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45227</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45227</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45227</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45227</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45227</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45227</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45227</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45227</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45227</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45227</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45227</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45227</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45227</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45227</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45227</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45227</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45227</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45227</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45227</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45227</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45227</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45227</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45227</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45227</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45227</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45227</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45227</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45227</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45227</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45227</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45227</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45227</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45227</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45227</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45227</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45227</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45227</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45227</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45227</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45227</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45227</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45227</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45227</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45227</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45227</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45227</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45227</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45227</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45227</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45227</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45227</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45227</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45227</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45227</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45227</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45227</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45227</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45227</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45227</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45227</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45227</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45227</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45227</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45227</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45227</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45227</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45227</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45227</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45227</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45227</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45227</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45227</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45227</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45227</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45227</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45227</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45227</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45227</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45227</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45227</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45227</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45227</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45227</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45227</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45227</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45227</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45227</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45227</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45227</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45227</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45227</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45227</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45227</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45227</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45227</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45227</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45227</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45227</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45227</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45227</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45227</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45227</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45227</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45227</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45227</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45227</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45227</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45227</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45227</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45227</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45227</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45227</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45227</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45227</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45227</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45227</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45227</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45227</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45227</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45227</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45227</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45227</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45227</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45227</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45227</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45227</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45227</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45227</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45227</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45227</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45227</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45227</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45227</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45227</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45227</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45227</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45227</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45227</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45227</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45227</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45227</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45227</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45227</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45227</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45227</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45227</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45227</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45227</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45227</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45227</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45227</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45227</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45227</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45227</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45227</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45227</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45227</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45227</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45227</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45227</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45227</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45227</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45227</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45227</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45227</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45227</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45227</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45227</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45227</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45227</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45227</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45227</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45227</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45227</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45227</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45227</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45227</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45227</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45227</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45227</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45227</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45227</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45227</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45227</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45227</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45227</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45227</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45227</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45227</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45227</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45227</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45227</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45227</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45227</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45227</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45227</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45227</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45227</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45227</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45227</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45227</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45227</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45227</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45227</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45227</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45227</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45227</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45227</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45227</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45227</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45227</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45227</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45227</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45227</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45227</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45227</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45227</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45227</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45227</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45227</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45227</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45227</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45227</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45227</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45227</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45227</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45227</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45227</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45227</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45227</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45227</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45227</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45227</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45227</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45227</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45227</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45227</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45227</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45227</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45227</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45227</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45227</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45227</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45227</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45227</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45227</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45227</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45227</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45227</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45227</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45227</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45227</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45227</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45227</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45227</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45227</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45227</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45227</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45227</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45227</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45227</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45227</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45227</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45227</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45227</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45227</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45227</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45227</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45227</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45227</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45227</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45227</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45227</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45227</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45227</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45227</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45227</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45227</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45227</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45227</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45227</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45227</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45227</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45227</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45227</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45227</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45227</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45227</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45227</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45227</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45227</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45227</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45227</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45227</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45227</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45227</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45227</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45227</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45227</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45227</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45227</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45227</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45227</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45227</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45227</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45227</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45227</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45227</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45227</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45227</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45227</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45227</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45227</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45227</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45227</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45227</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45227</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45227</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45227</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45227</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45227</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45227</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45227</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45227</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45227</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45227</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45227</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45227</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45227</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45227</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45227</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45227</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45227</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45227</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45227</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45227</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45227</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45227</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45227</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45227</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45227</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45227</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45227</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45227</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45227</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45227</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45227</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45227</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45227</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45227</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45227</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45227</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45227</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45227</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45227</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45227</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45227</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45227</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45227</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45227</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45227</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45227</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45227</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45227</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45227</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45227</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45227</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45227</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45227</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45227</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45227</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45227</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45227</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45227</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45227</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45227</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45227</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45227</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45227</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45227</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45227</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45227</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45227</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45227</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45227</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45227</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45227</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45227</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45227</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45227</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45227</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45227</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45227</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45227</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45227</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45227</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45227</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45227</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45227</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45227</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45227</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45227</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45227</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45227</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45227</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45227</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45227</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45227</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45227</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45227</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45227</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45227</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45227</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45227</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45227</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45227</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45227</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45227</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45227</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45227</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45227</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45227</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45227</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45227</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45227</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45227</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45227</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45227</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45227</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45227</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45227</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45227</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45227</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45227</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45227</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45227</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45227</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45227</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45227</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45227</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45227</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45227</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45227</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45227</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45227</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45227</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45227</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45227</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45227</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45227</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45227</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45227</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45227</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45227</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45227</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45227</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45227</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45227</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45227</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45227</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45227</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45227</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45227</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45227</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45227</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45227</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45227</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45227</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45227</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45227</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45227</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45227</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45227</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45227</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45227</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45227</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45227</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45227</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45227</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45227</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45227</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45227</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45227</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45227</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45227</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45227</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45227</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45227</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45227</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45227</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45227</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45227</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45227</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45227</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45227</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45227</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45227</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45227</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45227</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45227</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45227</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45227</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45227</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45227</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45227</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45227</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45227</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45227</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45227</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45227</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45227</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45227</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45227</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45227</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45227</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45227</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45227</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45227</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45227</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45227</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45227</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45227</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45227</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45227</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45227</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45227</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45227</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45227</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45227</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45227</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45227</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45227</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45227</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45227</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45227</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45227</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45227</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45227</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45227</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45227</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45227</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45227</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45227</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45227</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45227</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45227</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45227</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45227</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45227</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45227</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45227</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45227</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45227</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45227</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45227</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45227</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45227</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45227</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45227</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45227</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45227</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45227</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45227</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45227</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45227</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45227</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45227</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45227</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45227</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45227</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45227</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45227</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45227</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45227</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45227</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45227</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45227</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45227</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45227</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45227</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45227</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45227</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45227</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45227</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45227</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45227</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45227</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45227</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45227</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45227</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45227</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45227</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45227</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45227</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45227</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45227</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45227</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45227</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45227</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45227</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45227</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45227</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45227</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45227</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45227</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45227</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45227</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45227</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45227</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45227</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45227</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45227</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45227</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45227</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45227</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45227</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45227</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45227</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45227</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45227</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45227</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45227</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45227</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45227</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45227</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45227</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45227</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45227</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45227</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45227</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45227</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45227</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45227</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45227</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45227</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45227</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45227</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45227</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45227</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45227</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45227</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45227</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45227</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45227</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45227</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45227</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45227</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45227</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45227</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45227</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45227</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45227</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45227</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45227</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45227</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45227</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45227</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45227</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45227</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45227</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45227</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45227</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45227</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45227</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45227</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45227</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45227</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45227</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45227</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45227</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45227</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45227</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45227</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45227</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45227</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45227</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45227</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45227</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45227</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45227</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45227</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45227</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45227</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45227</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45227</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45227</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45227</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45227</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45227</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45227</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45227</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45227</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45227</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45227</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45227</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45227</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45227</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45227</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45227</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45227</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45227</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45227</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45227</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45227</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45227</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45227</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45227</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45227</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45227</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45227</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45227</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45227</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45227</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45227</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45227</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45227</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45227</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45227</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45227</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45227</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45227</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45227</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45227</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45227</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45227</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45227</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45227</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45227</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45227</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45227</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45227</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45227</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45227</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45227</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45227</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45227</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45227</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45227</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45227</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45227</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45227</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45227</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45227</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45227</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45227</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45227</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45227</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45227</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45227</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45227</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45227</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45227</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45227</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45227</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45227</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45227</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45227</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45227</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45227</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45227</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45227</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45227</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45227</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45227</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45227</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45227</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45227</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45227</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45227</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45227</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45227</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45227</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45227</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45227</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45227</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45227</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45227</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45227</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45227</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45227</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45227</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45227</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45227</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45227</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45227</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45227</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45227</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45227</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45227</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45227</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45227</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45227</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45227</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45227</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45227</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45227</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45227</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45227</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45227</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45227</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45227</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45227</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45227</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45227</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45227</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45227</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45227</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45227</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45227</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45227</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45227</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45227</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45227</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45227</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45227</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45227</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45227</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45227</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45227</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45227</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45227</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45227</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45227</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45227</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45227</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45227</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45227</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45227</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45227</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45227</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45227</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45227</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45227</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45227</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45227</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45227</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45227</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45227</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45227</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45227</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45227</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45227</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45227</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45227</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45227</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45227</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45227</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45227</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45227</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45227</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45227</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45227</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45227</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45227</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45227</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45227</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45227</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45227</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45227</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45227</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45227</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45227</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45227</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45227</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45227</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45227</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45227</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45227</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45227</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45227</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45227</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45227</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45227</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45227</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45227</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45227</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45227</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45227</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45227</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45227</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45227</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45227</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45227</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45227</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45227</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45227</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45227</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45227</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45227</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45227</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45227</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45227</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45227</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45227</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45227</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45227</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45227</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45227</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45227</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45227</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45227</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45227</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45227</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45227</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45227</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45227</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45227</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45227</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45227</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45227</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45227</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45227</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45227</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45227</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45227</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45227</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45227</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45227</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45227</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45227</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45227</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45227</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45227</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45227</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45227</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45227</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45227</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45227</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45227</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45227</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45227</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45227</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45227</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45227</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45227</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45227</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45227</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45227</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45227</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45227</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45227</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45227</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45227</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45227</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45227</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45227</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45227</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45227</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45227</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45227</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45227</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45227</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45227</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45227</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45227</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45227</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45227</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45227</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45227</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45227</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45227</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45227</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45227</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45227</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45227</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45227</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45227</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45227</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45227</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45227</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45227</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45227</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45227</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45227</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45227</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45227</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45227</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45227</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45227</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45227</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45227</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45227</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45227</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45227</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45227</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45227</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45227</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45227</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45227</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45227</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45227</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45227</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45227</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45227</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45227</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45227</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45227</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45227</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45227</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45227</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45227</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45227</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45227</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45227</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45227</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45227</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45227</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45227</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45227</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45227</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45227</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45227</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45227</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45227</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45227</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45227</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45227</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45227</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45227</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45227</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45227</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45227</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45227</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45227</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45227</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45227</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45227</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45227</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45227</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45227</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45227</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45227</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45227</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45227</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45227</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45227</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45227</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45227</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45227</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45227</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45227</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45227</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45227</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45227</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45227</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45227</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45227</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45227</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45227</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45227</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45227</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45227</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45227</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45227</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45227</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45227</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45227</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45227</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45227</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45227</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45227</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45227</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45227</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45227</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45227</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45227</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45227</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45227</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45227</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45227</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45227</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45227</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45227</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45227</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45227</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45227</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45227</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45227</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45227</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45227</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45227</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45227</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45227</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45227</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45227</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45227</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45227</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45227</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45227</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45227</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45227</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45227</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45227</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45227</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45227</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45227</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45227</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45227</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45227</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45227</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45227</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45227</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45227</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45227</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45227</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45227</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45227</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45227</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45227</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45227</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45227</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45227</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45227</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45227</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45227</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45227</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45227</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45227</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45227</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45227</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45227</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45227</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45227</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45227</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45227</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45227</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45227</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45227</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45227</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45227</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45227</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45227</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45227</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45227</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45227</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45227</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45227</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45227</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45227</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45227</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45227</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45227</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45227</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45227</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45227</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45227</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45227</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45227</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45227</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45227</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45227</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45227</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45227</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45227</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45227</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45227</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45227</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45227</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45227</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45227</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45227</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45227</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45227</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45227</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45227</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45227</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45227</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45227</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45227</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45227</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45227</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45227</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45227</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45227</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45227</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45227</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45227</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45227</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45227</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45227</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45227</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45227</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45227</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45227</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45227</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45227</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45227</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45227</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45227</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45227</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45227</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45227</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45227</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45227</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45227</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45227</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45227</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45227</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45227</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45227</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45227</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45227</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45227</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45227</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45227</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45227</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45227</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45227</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45227</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45227</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45227</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45227</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45227</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45227</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45227</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45227</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45227</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45227</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45227</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45227</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45227</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45227</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45227</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45227</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45227</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45227</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45227</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45227</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45227</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45227</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45227</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45227</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45227</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45227</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45227</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45227</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45227</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45227</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45227</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45227</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45227</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45227</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45227</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45227</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45227</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45227</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45227</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45227</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45227</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45227</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45227</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45227</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45227</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45227</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45227</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45227</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45227</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45227</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45227</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45227</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45227</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45227</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45227</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45227</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45227</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45227</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45227</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45227</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45227</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45227</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45227</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45227</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45227</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45227</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45227</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45227</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45227</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45227</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45227</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45227</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45227</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45227</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45227</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45227</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45227</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45227</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45227</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45227</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45227</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45227</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45227</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45227</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45227</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45227</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45227</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45227</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45227</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45227</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45227</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45227</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45227</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45227</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45227</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45227</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45227</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45227</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45227</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45227</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45227</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45227</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45227</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45227</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45227</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45227</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45227</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45227</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45227</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45227</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45227</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45227</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45227</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45227</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45227</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45227</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45227</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45227</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45227</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45227</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45227</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45227</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45227</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45227</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45227</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45227</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45227</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45227</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45227</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45227</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45227</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45227</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45227</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45227</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45227</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45227</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45227</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45227</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45227</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45227</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45227</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45227</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45227</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45227</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45227</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45227</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45227</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45227</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45227</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45227</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45227</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45227</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45227</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45227</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45227</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45227</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45227</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45227</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45227</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45227</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45227</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45227</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45227</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45227</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45227</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45227</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45227</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45227</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45227</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45227</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45227</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45227</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45227</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45227</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45227</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45227</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45227</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45227</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45227</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45227</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45227</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45227</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45227</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45227</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45227</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45227</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45227</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45227</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45227</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45227</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45227</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45227</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45227</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45227</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45227</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45227</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45227</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45227</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45227</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45227</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45227</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45227</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45227</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45227</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45227</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45227</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45227</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45227</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45227</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45227</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45227</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45227</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45227</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45227</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45227</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45227</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45227</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45227</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45227</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45227</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45227</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45227</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45227</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45227</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45227</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45227</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45227</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45227</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45227</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45227</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45227</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45227</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45227</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45227</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45227</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45227</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45227</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45227</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45227</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45227</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45227</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45227</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45227</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45227</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45227</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45227</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45227</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45227</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45227</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45227</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45227</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45227</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45227</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45227</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45227</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45227</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45227</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45227</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45227</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45227</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45227</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45227</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45227</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45227</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45227</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45227</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45227</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45227</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45227</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45227</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45227</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45227</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45227</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45227</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45227</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45227</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45227</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45227</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45227</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45227</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45227</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45227</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45227</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45227</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45227</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45227</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45227</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45227</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45227</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45227</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45227</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45227</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45227</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45227</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45227</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45227</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45227</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45227</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45227</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45227</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45227</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45227</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45227</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45227</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45227</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45227</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45227</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45227</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45227</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45227</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45227</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45227</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45227</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45227</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45227</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45227</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45227</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45227</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45227</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45227</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45227</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45227</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45227</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45227</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45227</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45227</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45227</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45227</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45227</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45227</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45227</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45227</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45227</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45227</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45227</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45227</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45227</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45227</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45227</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45227</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45227</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45227</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45227</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45227</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45227</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45227</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45227</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45227</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45227</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45227</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45227</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45227</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45227</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45227</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45227</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45227</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45227</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45227</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45227</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45227</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45227</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45227</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45227</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45227</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45227</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45227</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45227</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45227</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45227</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45227</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45227</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45227</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45227</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45227</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45227</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45227</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45227</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45227</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45227</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45227</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45227</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45227</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45227</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45227</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45227</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45227</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45227</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45227</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45227</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45227</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45227</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45227</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45227</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45227</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45227</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45227</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45227</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45227</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45227</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45227</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45227</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45227</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45227</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45227</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45227</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45227</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45227</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45227</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45227</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45227</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45227</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45227</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45227</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45227</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45227</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45227</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45227</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45227</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45227</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45227</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45227</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45227</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45227</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45227</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45227</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45227</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45227</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45227</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45227</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45227</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45227</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45227</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45227</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45227</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45227</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45227</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45227</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45227</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45227</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45227</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45227</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45227</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45227</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45227</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45227</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45227</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45227</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45227</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45227</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45227</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45227</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45227</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45227</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45227</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45227</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45227</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45227</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45227</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45227</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45227</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45227</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45227</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45227</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45227</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45227</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45227</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45227</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45227</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45227</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45227</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45227</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45227</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45227</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45227</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45227</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45227</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45227</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45227</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45227</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45227</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45227</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45227</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45227</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45227</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45227</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45227</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45227</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45227</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45227</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45227</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45227</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45227</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45227</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45227</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45227</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45227</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45227</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45227</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45227</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45227</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45227</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45227</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45227</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45227</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45227</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45227</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45227</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45227</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45227</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45227</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45227</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45227</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45227</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45227</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45227</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45227</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45227</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45227</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45227</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45227</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45227</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45227</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45227</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45227</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45227</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45227</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45227</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45227</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45227</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45227</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45227</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45227</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45227</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45227</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45227</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45227</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45227</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45227</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45227</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45227</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45227</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45227</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45227</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45227</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45227</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45227</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45227</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45227</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45227</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45227</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45227</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45227</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45227</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45227</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45227</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45227</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45227</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45227</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45227</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45227</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45227</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45227</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45227</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45227</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45227</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45227</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45227</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45227</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45227</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45227</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45227</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45227</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45227</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45227</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45227</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45227</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45227</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45227</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45227</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45227</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45227</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45227</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45227</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45227</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45227</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45227</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45227</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45227</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45227</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45227</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45227</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45227</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45227</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45227</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45227</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45227</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45227</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45227</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45227</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45227</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45227</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45227</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45227</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45227</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45227</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45227</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45227</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45227</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45227</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45227</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45227</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45227</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45227</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45227</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45227</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45227</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45227</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45227</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45227</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45227</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45227</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45227</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45227</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45227</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45227</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45227</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45227</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45227</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45227</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45227</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45227</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45227</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45227</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45227</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45227</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45227</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45227</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45227</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45227</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45227</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45227</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45227</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45227</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45227</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45227</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45227</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45227</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45227</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45227</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45227</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45227</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45227</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45227</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45227</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45227</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45227</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45227</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45227</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45227</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45227</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45227</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45227</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45227</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45227</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45227</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45227</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45227</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45227</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45227</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45227</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45227</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45227</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45227</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45227</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45227</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45227</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45227</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45227</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45227</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45227</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45227</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45227</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45227</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45227</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45227</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45227</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45227</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45227</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45227</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45227</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45227</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45227</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45227</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45227</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45227</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45227</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45227</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45227</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45227</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45227</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45227</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45227</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45227</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45227</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45227</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45227</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45227</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45227</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45227</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45227</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45227</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45227</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45227</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45227</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45227</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45227</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45227</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45227</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45227</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45227</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45227</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45227</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45227</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45227</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45227</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45227</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45227</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45227</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45227</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45227</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45227</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45227</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45227</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45227</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45227</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45227</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45227</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45227</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45227</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45227</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45227</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45227</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45227</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45227</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45227</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45227</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45227</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45227</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45227</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45227</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45227</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45227</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45227</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45227</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45227</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45227</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45227</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45227</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45227</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45227</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45227</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45227</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45227</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45227</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45227</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45227</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45227</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45227</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45227</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45227</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45227</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45227</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45227</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45227</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45227</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45227</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45227</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45227</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45227</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45227</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45227</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45227</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45227</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45227</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45227</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45227</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45227</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45227</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45227</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45227</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45227</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45227</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45227</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45227</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45227</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45227</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45227</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45227</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45227</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45227</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45227</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45227</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45227</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45227</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45227</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45227</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45227</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45227</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45227</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45227</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45227</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45227</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45227</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45227</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45227</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45227</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45227</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45227</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45227</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45227</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45227</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45227</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45227</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45227</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45227</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45227</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45227</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45227</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45227</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45227</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45227</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45227</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45227</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45227</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45227</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45227</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45227</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45227</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45227</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45227</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45227</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45227</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45227</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45227</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45227</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45227</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45227</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45227</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45227</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45227</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45227</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45227</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45227</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45227</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45227</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45227</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45227</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45227</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45227</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45227</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45227</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45227</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45227</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45227</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45227</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45227</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45227</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45227</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45227</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45227</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45227</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45227</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45227</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45227</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45227</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45227</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45227</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45227</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45227</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45227</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45227</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45227</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45227</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45227</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45227</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45227</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45227</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45227</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45227</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45227</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45227</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45227</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45227</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45227</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45227</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45227</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45227</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45227</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45227</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45227</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45227</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45227</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45227</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45227</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45227</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45227</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45227</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45227</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45227</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45227</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45227</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45227</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45227</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45227</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45227</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45227</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45227</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45227</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45227</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45227</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45227</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45227</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45227</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45227</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45227</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45227</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45227</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45227</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45227</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45227</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45227</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45227</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45227</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45227</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45227</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45227</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45227</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45227</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45227</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45227</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45227</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45227</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45227</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45227</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45227</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45227</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45227</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45227</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45227</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45227</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45227</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45227</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45227</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45227</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45227</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45227</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45227</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45227</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45227</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45227</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45227</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45227</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45227</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45227</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45227</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45227</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45227</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45227</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45227</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45227</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45227</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45227</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45227</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45227</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45227</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45227</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45227</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45227</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45227</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45227</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45227</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45227</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45227</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45227</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45227</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45227</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45227</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45227</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45227</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45227</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45227</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45227</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45227</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45227</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45227</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45227</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45227</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45227</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45227</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45227</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45227</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45227</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45227</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45227</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45227</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45227</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45227</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45227</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45227</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45227</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45227</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45227</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45227</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45227</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45227</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45227</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45227</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45227</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45227</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45227</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45227</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45227</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45227</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45227</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45227</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45227</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45227</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45227</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45227</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45227</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45227</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45227</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45227</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45227</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45227</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45227</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45227</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45227</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45227</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45227</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45227</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45227</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45227</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45227</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45227</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45227</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45227</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45227</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45227</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45227</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45227</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45227</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45227</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45227</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45227</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45227</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45227</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45227</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45227</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45227</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45227</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45227</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45227</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45227</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45227</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45227</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45227</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45227</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45227</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45227</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45227</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45227</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45227</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45227</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45227</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45227</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45227</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45227</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45227</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45227</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45227</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45227</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45227</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45227</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45227</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45227</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45227</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45227</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45227</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45227</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45227</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45227</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45227</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45227</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45227</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45227</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45227</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45227</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45227</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45227</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45227</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45227</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45227</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45227</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45227</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45227</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45227</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45227</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45227</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45227</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45227</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45227</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45227</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45227</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45227</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45227</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45227</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45227</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45227</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45227</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45227</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45227</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45227</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45227</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45227</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45227</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45227</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45227</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45227</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45227</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45227</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45227</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45227</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45227</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45227</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45227</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45227</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45227</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45227</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45227</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45227</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45227</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45227</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45227</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45227</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45227</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45227</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45227</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45227</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45227</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45227</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45227</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45227</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45227</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45227</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45227</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45227</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45227</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45227</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45227</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45227</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45227</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45227</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45227</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45227</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45227</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45227</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45227</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45227</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45227</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45227</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45227</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45227</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45227</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45227</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45227</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45227</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45227</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45227</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45227</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45227</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45227</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45227</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45227</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45227</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45227</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45227</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45227</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45227</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45227</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45227</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45227</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45227</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45227</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45227</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45227</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45227</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45227</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45227</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45227</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45227</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45227</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45227</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45227</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45227</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45227</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45227</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45227</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45227</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45227</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45227</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45227</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45227</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45227</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45227</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45227</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45227</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45227</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45227</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45227</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45227</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45227</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45227</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45227</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45227</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45227</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45227</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45227</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45227</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45227</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45227</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45227</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45227</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45227</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45227</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45227</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45227</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45227</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45227</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45227</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45227</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45227</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45227</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45227</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45227</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45227</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45227</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45227</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45227</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45227</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45227</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45227</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45227</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45227</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45227</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45227</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45227</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45227</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45227</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45227</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45227</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45227</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45227</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45227</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45227</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45227</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45227</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45227</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45227</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45227</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45227</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45227</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45227</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45227</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45227</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45227</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45227</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45227</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45227</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45227</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45227</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45227</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45227</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45227</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45227</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45227</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45227</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45227</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45227</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45227</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45227</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45227</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45227</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45227</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45227</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45227</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45227</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45227</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45227</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45227</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45227</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45227</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45227</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45227</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45227</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45227</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45227</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45227</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45227</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45227</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45227</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45227</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45227</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45227</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45227</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45227</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45227</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45227</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45227</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45227</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45227</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45227</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45227</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45227</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45227</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45227</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45227</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45227</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45227</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45227</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45227</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45227</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45227</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45227</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45227</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45227</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45227</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45227</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45227</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45227</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45227</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45227</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45227</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45227</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45227</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45227</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45227</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45227</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45227</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45227</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45227</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45227</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45227</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45227</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45227</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45227</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45227</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45227</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45227</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45227</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45227</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45227</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45227</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45227</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45227</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45227</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45227</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45227</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45227</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45227</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45227</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45227</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45227</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45227</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45227</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45227</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45227</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45227</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45227</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45227</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45227</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45227</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45227</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45227</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45227</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45227</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45227</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45227</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45227</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45227</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45227</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45227</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45227</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45227</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45227</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45227</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45227</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45227</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45227</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45227</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45227</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45227</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45227</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45227</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45227</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45227</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45227</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45227</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45227</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45227</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45227</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45227</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45227</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45227</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45227</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45227</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45227</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45227</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45227</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45227</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45227</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45227</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45227</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45227</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45227</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45227</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45227</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45227</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45227</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45227</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45227</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45227</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45227</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45227</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45227</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45227</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45227</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45227</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45227</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45227</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45227</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45227</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45227</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45227</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45227</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45227</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45227</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45227</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45227</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45227</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45227</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45227</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45227</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45227</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45227</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45227</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45227</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45227</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45227</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45227</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45227</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45227</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45227</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45227</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45227</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45227</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45227</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45227</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45227</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45227</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45227</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45227</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45227</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45227</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45227</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45227</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45227</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45227</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45227</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45227</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45227</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45227</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45227</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45227</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45227</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45227</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45227</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45227</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45227</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45227</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45227</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45227</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45227</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45227</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45227</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45227</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45227</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45227</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45227</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45227</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45227</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45227</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45227</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45227</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45227</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45227</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45227</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45227</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45227</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45227</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45227</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45227</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45227</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45227</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45227</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45227</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45227</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45227</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45227</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45227</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45227</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45227</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45227</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45227</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45227</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45227</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45227</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45227</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45227</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45227</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45227</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45227</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45227</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45227</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45227</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45227</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45227</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45227</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45227</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45227</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45227</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45227</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45227</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45227</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45227</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45227</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45227</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45227</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45227</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45227</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45227</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45227</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45227</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45227</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45227</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45227</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45227</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45227</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45227</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45227</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45227</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45227</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45227</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45227</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45227</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45227</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45227</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45227</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45227</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45227</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45227</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45227</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45227</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45227</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45227</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45227</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45227</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45227</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45227</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45227</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45227</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45227</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45227</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45227</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45227</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45227</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45227</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45227</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45227</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45227</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45227</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45227</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45227</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45227</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45227</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45227</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45227</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45227</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45227</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45227</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45227</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45227</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45227</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45227</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45227</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45227</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45227</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45227</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45227</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45227</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45227</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45227</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45227</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45227</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45227</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45227</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45227</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45227</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45227</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45227</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45227</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45227</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45227</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45227</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45227</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45227</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45227</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45227</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45227</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45227</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45227</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45227</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45227</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45227</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45227</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45227</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45227</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45227</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45227</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45227</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45227</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45227</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45227</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45227</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45227</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45227</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45227</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45227</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45227</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45227</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45227</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45227</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45227</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45227</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45227</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45227</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45227</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45227</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45227</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45227</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45227</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45227</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45227</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45227</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45227</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45227</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45227</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45227</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45227</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45227</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45227</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45227</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45227</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45227</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45227</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45227</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45227</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45227</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45227</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45227</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45227</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45227</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45227</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45227</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45227</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45227</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45227</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45227</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45227</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45227</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45227</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45227</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45227</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45227</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45227</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45227</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45227</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45227</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45227</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45227</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45227</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45227</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45227</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45227</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45227</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45227</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45227</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45227</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45227</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45227</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45227</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45227</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45227</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45227</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45227</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45227</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45227</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45227</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45227</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45227</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45227</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45227</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45227</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45227</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45227</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45227</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45227</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45227</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45227</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45227</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45227</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45227</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45227</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45227</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45227</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45227</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45227</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45227</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45227</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45227</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45227</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45227</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45227</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45227</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45227</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45227</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45227</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45227</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45227</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45227</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45227</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45227</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45227</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45227</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45227</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45227</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45227</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45227</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45227</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45227</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45227</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45227</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45227</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45227</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45227</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45227</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45227</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45227</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45227</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45227</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45227</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45227</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45227</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45227</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45227</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45227</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45227</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45227</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45227</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45227</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45227</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45227</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45227</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45227</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45227</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45227</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45227</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45227</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45227</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45227</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45227</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45227</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45227</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45227</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45227</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45227</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45227</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45227</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45227</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45227</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45227</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45227</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45227</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45227</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45227</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45227</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45227</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45227</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45227</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45227</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45227</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45227</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45227</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45227</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45227</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45227</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45227</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45227</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45227</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45227</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45227</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45227</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45227</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45227</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45227</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45227</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45227</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45227</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45227</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45227</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45227</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45227</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45227</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45227</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45227</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45227</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45227</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45227</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45227</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45227</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45227</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45227</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45227</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45227</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45227</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45227</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45227</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45227</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45227</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45227</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45227</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45227</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45227</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45227</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45227</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45227</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45227</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45227</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45227</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45227</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45227</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45227</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45227</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45227</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45227</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45227</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45227</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45227</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45227</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45227</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45227</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45227</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45227</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45227</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45227</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45227</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45227</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45227</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45227</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45227</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45227</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45227</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45227</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45227</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45227</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45227</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45227</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45227</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45227</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45227</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45227</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45227</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45227</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45227</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45227</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45227</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45227</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45227</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45227</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45227</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45227</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45227</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45227</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45227</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45227</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45227</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45227</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45227</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45227</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45227</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45227</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45227</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45227</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45227</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45227</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45227</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45227</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45227</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45227</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45227</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45227</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45227</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45227</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45227</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45227</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45227</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45227</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45227</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45227</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45227</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45227</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45227</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45227</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45227</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45227</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45227</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45227</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45227</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45227</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45227</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45227</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45227</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45227</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45227</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45227</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45227</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45227</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45227</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45227</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45227</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45227</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45227</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45227</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45227</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45227</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45227</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45227</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45227</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45227</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45227</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45227</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45227</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45227</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45227</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45227</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45227</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45227</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45227</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45227</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45227</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45227</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45227</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45227</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45227</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45227</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45227</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45227</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45227</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45227</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45227</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45227</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45227</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45227</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45227</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45227</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45227</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45227</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45227</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45227</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45227</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45227</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45227</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45227</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45227</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45227</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45227</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45227</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45227</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45227</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45227</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45227</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45227</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45227</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45227</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45227</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45227</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45227</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45227</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45227</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45227</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45227</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45227</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45227</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45227</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45227</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45227</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45227</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45227</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45227</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45227</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45227</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45227</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45227</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45227</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45227</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45227</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45227</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45227</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45227</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45227</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45227</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45227</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45227</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45227</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45227</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45227</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45227</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45227</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45227</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45227</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45227</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45227</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45227</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45227</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45227</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45227</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45227</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45227</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45227</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45227</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45227</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45227</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45227</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45227</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45227</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45227</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45227</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45227</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45227</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45227</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45227</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45227</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45227</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45227</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45227</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45227</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45227</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45227</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45227</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45227</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45227</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45227</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45227</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45227</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45227</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45227</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45227</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45227</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45227</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45227</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45227</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45227</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45227</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45227</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45227</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45227</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45227</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45227</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45227</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45227</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45227</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45227</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45227</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45227</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45227</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45227</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45227</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45227</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45227</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45227</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45227</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45227</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45227</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45227</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45227</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45227</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45227</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45227</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45227</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45227</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45227</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45227</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45227</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45227</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45227</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45227</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45227</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45227</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45227</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45227</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45227</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45227</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45227</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45227</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45227</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45227</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45227</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45227</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45227</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45227</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45227</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45227</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45227</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45227</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45227</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45227</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45227</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45227</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45227</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45227</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45227</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45227</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45227</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45227</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45227</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45227</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45227</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45227</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45227</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45227</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45227</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45227</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45227</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45227</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45227</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45227</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45227</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45227</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45227</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45227</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45227</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45227</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45227</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45227</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45227</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45227</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45227</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45227</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45227</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45227</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45227</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45227</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45227</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45227</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45227</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45227</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45227</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45227</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45227</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45227</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45227</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45227</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45227</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45227</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45227</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45227</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45227</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45227</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45227</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45227</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45227</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45227</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45227</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45227</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45227</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45227</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45227</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45227</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45227</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45227</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45227</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45227</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45227</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45227</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45227</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45227</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45227</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45227</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45227</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45227</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45227</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45227</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45227</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45227</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45227</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45227</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45227</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45227</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45227</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45227</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45227</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45227</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45227</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45227</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45227</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45227</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45227</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45227</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45227</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45227</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45227</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45227</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45227</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45227</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45227</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45227</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45227</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45227</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45227</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45227</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45227</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45227</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45227</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45227</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45227</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45227</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45227</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45227</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45227</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45227</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45227</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45227</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45227</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45227</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45227</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45227</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45227</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45227</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45227</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45227</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45227</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45227</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45227</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45227</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45227</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45227</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45227</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45227</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45227</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45227</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45227</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45227</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45227</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45227</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45227</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45227</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45227</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45227</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45227</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45227</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45227</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45227</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45227</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45227</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45227</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45227</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45227</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45227</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45227</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45227</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45227</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45227</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45227</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45227</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45227</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45227</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45227</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45227</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45227</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45227</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45227</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45227</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45227</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45227</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45227</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45227</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45227</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45227</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45227</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45227</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45227</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45227</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45227</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45227</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45227</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45227</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45227</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45227</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45227</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45227</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45227</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45227</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45227</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45227</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45227</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45227</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45227</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45227</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45227</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45227</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45227</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45227</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45227</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45227</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45227</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45227</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45227</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45227</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45227</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45227</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45227</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45227</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45227</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45227</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45227</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45227</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45227</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45227</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45227</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45227</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45227</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45227</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45227</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45227</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45227</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45227</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45227</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45227</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45227</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45227</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45227</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45227</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45227</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45227</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45227</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45227</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45227</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45227</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45227</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45227</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45227</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45227</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45227</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45227</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45227</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45227</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45227</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45227</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45227</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45227</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45227</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45227</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45227</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45227</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45227</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45227</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45227</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45227</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45227</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45227</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45227</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45227</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45227</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45227</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45227</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45227</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45227</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45227</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45227</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45227</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45227</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45227</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45227</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45227</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45227</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45227</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45227</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45227</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45227</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45227</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45227</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45227</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45227</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45227</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45227</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45227</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45227</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45227</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45227</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45227</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45227</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45227</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45227</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45227</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45227</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45227</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45227</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45227</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45227</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45227</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45227</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45227</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45227</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45227</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45227</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45227</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45227</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45227</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45227</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45227</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45227</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45227</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45227</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45227</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45227</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45227</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45227</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45227</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45227</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45227</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45227</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45227</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45227</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45227</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45227</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45227</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45227</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45227</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45227</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45227</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45227</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45227</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45227</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45227</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45227</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45227</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45227</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45227</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45227</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45227</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45227</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45227</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45227</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45227</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45227</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45227</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45227</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45227</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45227</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45227</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45227</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45227</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45227</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45227</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45227</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45227</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45227</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45227</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45227</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45227</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45227</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45227</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45227</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45227</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45227</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45227</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45227</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45227</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45227</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45227</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45227</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45227</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45227</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45227</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45227</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45227</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45227</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45227</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45227</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45227</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45227</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45227</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45227</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45227</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45227</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45227</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45227</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45227</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45227</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45227</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45227</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45227</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45227</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45227</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45227</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45227</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45227</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45227</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45227</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45227</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45227</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45227</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45227</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45227</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45227</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45227</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45227</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45227</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45227</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45227</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45227</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45227</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45227</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45227</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45227</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45227</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45227</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45227</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45227</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45227</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45227</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45227</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45227</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45227</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45227</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45227</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45227</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45227</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45227</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45227</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45227</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45227</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45227</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45227</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45227</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45227</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45227</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45227</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45227</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45227</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45227</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45227</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45227</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45227</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45227</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45227</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45227</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45227</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45227</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45227</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45227</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45227</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45227</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45227</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45227</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45227</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45227</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45227</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45227</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45227</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45227</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45227</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45227</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45227</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45227</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45227</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45227</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45227</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45227</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45227</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45227</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45227</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45227</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45227</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45227</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45227</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45227</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45227</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45227</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45227</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45227</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45227</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45227</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45227</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45227</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45227</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45227</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45227</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45227</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45227</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45227</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45227</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45227</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45227</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45227</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45227</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45227</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45227</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45227</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45227</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45227</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45227</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45227</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45227</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45227</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45227</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45227</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45227</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45227</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45227</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45227</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45227</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45227</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45227</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45227</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45227</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45227</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45227</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45227</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45227</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45227</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45227</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45227</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45227</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45227</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45227</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45227</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45227</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45227</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45227</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45227</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45227</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45227</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45227</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45227</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45227</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45227</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45227</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45227</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45227</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45227</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45227</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45227</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45227</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45227</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45227</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45227</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45227</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45227</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45227</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45227</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45227</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45227</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45227</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45227</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45227</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45227</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45227</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45227</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45227</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45227</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45227</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45227</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45227</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45227</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45227</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45227</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45227</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45227</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45227</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45227</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45227</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45227</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45227</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45227</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45227</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45227</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45227</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45227</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45227</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45227</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45227</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45227</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45227</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45227</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45227</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45227</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45227</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45227</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45227</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45227</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45227</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45227</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45227</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45227</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45227</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45227</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45227</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45227</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45227</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45227</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45227</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45227</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45227</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45227</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45227</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45227</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45227</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45227</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45227</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45227</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45227</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45227</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45227</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45227</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45227</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45227</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45227</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45227</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45227</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45227</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45227</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45227</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45227</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45227</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45227</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45227</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45227</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45227</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45227</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45227</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45227</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45227</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45227</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45227</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45227</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45227</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45227</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45227</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45227</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45227</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45227</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45227</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45227</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45227</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45227</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45227</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45227</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45227</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45227</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45227</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45227</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45227</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45227</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45227</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45227</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45227</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45227</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45227</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45227</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45227</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45227</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45227</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45227</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45227</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45227</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45227</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45227</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45227</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45227</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45227</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45227</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45227</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45227</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45227</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45227</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45227</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45227</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45227</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45227</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45227</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45227</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45227</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45227</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45227</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45227</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45227</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45227</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45227</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45227</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45227</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45227</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45227</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45227</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45227</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45227</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45227</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45227</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45227</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45227</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45227</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45227</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45227</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45227</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45227</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45227</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45227</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45227</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45227</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45227</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45227</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45227</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45227</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45227</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45227</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45227</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45227</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45227</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45227</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45227</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45227</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45227</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45227</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45227</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45227</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45227</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45227</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45227</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45227</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45227</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45227</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45227</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45227</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45227</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45227</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45227</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45227</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45227</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45227</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45227</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45227</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45227</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45227</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45227</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45227</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45227</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45227</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45227</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45227</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45227</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45227</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45227</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45227</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45227</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45227</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45227</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45227</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45227</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45227</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45227</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45227</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45227</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45227</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45227</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45227</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45227</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45227</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45227</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45227</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45227</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45227</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45227</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45227</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45227</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45227</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45227</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45227</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45227</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45227</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45227</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45227</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45227</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45227</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45227</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45227</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45227</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45227</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45227</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45227</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45227</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45227</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45227</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45227</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45227</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45227</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45227</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45227</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45227</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45227</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45227</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45227</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45227</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45227</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45227</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45227</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45227</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45227</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45227</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45227</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45227</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45227</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45227</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45227</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45227</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45227</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45227</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45227</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45227</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45227</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45227</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45227</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45227</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45227</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45227</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45227</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45227</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45227</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45227</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45227</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45227</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45227</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45227</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45227</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45227</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45227</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45227</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45227</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45227</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45227</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45227</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45227</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45227</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45227</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45227</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45227</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45227</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45227</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45227</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45227</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45227</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45227</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45227</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45227</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45227</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45227</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45227</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45227</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45227</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45227</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45227</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45227</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45227</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45227</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45227</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45227</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45227</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45227</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45227</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45227</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45227</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45227</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45227</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45227</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45227</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45227</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45227</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45227</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45227</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45227</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45227</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45227</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45227</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45227</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45227</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45227</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45227</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45227</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45227</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45227</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45227</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45227</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45227</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45227</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45227</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45227</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45227</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45227</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45227</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45227</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45227</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45227</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45227</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45227</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45227</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45227</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45227</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45227</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45227</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45227</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45227</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45227</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45227</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45227</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45227</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45227</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45227</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45227</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45227</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45227</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45227</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45227</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45227</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45227</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45227</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45227</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45227</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45227</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45227</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45227</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45227</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45227</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45227</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45227</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45227</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45227</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45227</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45227</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45227</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45227</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45227</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45227</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45227</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45227</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45227</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45227</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45227</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45227</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45227</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45227</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45227</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45227</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45227</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45227</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45227</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45227</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45227</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45227</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45227</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45227</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45227</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45227</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45227</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45227</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45227</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45227</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45227</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45227</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45227</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45227</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45227</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45227</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45227</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45227</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45227</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45227</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45227</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45227</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45227</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45227</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45227</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45227</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45227</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45227</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45227</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45227</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45227</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45227</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45227</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45227</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45227</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45227</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45227</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45227</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45227</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45227</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45227</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45227</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45227</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45227</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45227</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45227</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45227</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45227</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45227</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45227</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45227</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45227</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45227</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45227</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45227</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45227</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45227</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45227</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45227</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45227</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45227</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45227</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45227</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45227</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45227</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45227</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45227</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45227</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45227</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45227</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45227</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45227</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45227</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45227</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45227</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45227</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45227</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45227</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45227</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45227</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45227</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45227</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45227</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45227</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45227</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45227</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45227</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45227</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45227</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45227</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45227</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45227</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45227</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45227</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45227</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45227</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45227</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45227</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45227</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45227</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45227</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45227</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45227</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45227</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45227</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45227</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45227</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45227</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45227</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45227</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45227</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45227</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45227</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45227</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45227</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45227</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45227</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45227</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45227</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45227</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45227</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45227</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45227</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45227</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45227</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45227</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45227</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45227</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45227</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45227</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45227</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45227</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45227</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45227</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45227</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45227</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45227</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45227</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45227</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45227</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45227</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45227</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45227</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45227</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45227</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45227</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45227</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45227</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45227</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45227</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45227</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45227</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45227</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45227</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45227</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45227</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45227</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45227</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45227</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45227</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45227</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45227</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45227</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45227</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45227</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45227</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45227</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45227</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45227</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45227</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45227</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45227</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45227</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45227</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45227</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45227</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45227</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45227</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45227</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45227</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45227</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45227</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45227</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45227</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45227</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45227</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45227</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45227</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45227</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45227</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45227</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45227</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45227</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45227</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45227</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45227</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45227</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45227</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45227</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45227</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45227</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45227</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45227</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45227</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45227</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45227</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45227</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45227</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45227</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45227</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45227</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45227</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45227</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45227</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45227</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45227</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45227</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45227</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45227</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45227</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45227</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45227</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45227</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45227</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45227</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45227</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45227</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45227</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45227</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45227</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45227</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45227</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45227</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45227</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45227</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45227</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45227</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45227</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45227</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45227</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45227</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45227</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45227</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45227</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45227</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45227</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45227</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45227</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45227</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45227</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45227</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45227</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45227</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45227</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45227</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45227</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45227</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45227</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45227</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45227</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45227</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45227</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45227</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45227</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45227</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45227</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45227</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45227</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45227</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45227</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45227</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45227</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45227</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45227</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45227</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45227</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45227</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45227</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45227</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45227</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45227</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45227</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45227</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45227</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45227</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45227</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45227</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45227</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45227</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45227</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45227</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45227</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45227</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45227</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45227</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45227</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45227</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45227</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45227</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45227</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45227</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45227</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45227</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45227</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45227</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45227</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45227</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45227</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45227</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45227</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45227</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45227</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45227</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45227</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45227</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45227</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45227</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45227</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45227</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45227</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45227</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45227</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45227</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45227</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45227</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45227</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45227</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45227</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45227</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45227</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45227</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45227</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45227</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45227</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45227</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45227</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45227</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45227</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45227</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45227</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45227</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45227</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45227</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45227</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45227</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45227</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45227</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45227</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45227</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45227</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45227</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45227</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45227</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45227</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45227</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45227</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45227</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45227</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45227</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45227</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45227</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45227</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45227</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45227</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45227</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45227</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45227</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45227</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45227</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45227</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45227</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45227</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45227</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45227</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45227</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45227</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45227</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45227</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45227</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45227</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45227</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45227</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45227</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45227</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45227</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45227</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45227</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45227</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45227</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45227</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45227</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45227</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45227</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45227</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45227</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45227</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45227</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45227</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45227</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45227</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45227</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45227</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45227</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45227</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45227</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45227</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45227</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45227</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45227</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45227</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45227</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45227</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45227</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45227</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45227</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45227</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45227</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45227</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45227</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45227</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45227</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45227</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45227</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45227</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45227</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45227</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45227</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45227</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45227</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45227</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45227</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45227</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45227</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45227</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45227</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45227</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45227</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45227</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45227</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45227</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45227</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45227</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45227</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45227</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45227</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45227</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45227</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45227</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45227</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45227</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45227</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45227</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45227</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45227</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45227</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45227</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45227</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45227</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45227</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45227</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45227</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45227</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45227</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45227</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45227</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45227</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45227</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45227</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45227</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45227</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45227</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45227</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45227</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45227</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45227</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45227</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45227</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45227</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45227</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45227</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45227</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45227</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45227</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45227</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45227</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45227</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45227</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45227</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45227</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45227</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45227</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45227</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45227</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45227</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45227</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45227</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45227</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45227</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45227</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45227</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45227</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45227</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45227</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45227</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45227</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45227</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45227</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45227</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45227</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45227</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45227</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45227</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45227</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45227</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45227</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45227</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45227</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45227</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45227</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45227</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45227</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45227</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45227</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45227</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45227</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45227</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45227</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45227</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45227</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45227</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45227</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45227</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45227</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45227</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45227</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45227</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45227</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45227</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45227</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45227</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45227</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45227</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45227</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45227</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45227</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45227</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45227</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45227</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45227</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45227</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45227</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45227</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45227</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45227</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45227</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45227</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45227</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45227</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45227</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45227</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45227</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45227</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45227</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45227</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45227</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45227</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45227</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45227</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45227</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45227</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45227</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45227</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45227</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45227</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45227</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45227</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45227</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45227</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45227</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45227</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45227</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45227</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45227</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45227</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45227</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45227</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45227</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45227</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45227</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45227</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45227</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45227</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45227</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45227</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45227</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45227</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45227</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45227</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45227</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45227</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45227</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45227</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45227</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45227</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45227</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45227</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45227</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45227</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45227</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45227</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45227</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45227</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45227</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45227</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45227</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45227</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45227</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45227</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45227</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45227</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45227</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45227</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45227</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45227</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45227</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45227</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45227</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45227</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45227</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45227</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45227</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45227</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45227</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45227</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45227</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45227</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45227</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45227</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45227</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45227</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45227</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45227</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45227</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45227</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45227</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45227</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45227</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45227</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45227</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45227</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45227</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45227</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45227</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45227</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45227</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45227</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45227</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45227</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45227</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45227</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45227</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45227</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45227</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45227</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45227</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45227</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45227</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45227</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45227</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45227</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45227</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45227</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45227</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45227</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45227</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45227</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45227</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45227</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45227</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45227</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45227</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45227</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45227</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45227</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45227</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45227</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45227</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45227</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45227</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45227</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45227</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45227</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45227</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45227</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45227</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45227</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45227</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45227</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45227</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45227</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45227</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45227</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45227</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45227</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45227</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45227</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45227</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45227</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45227</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45227</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45227</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45227</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45227</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45227</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45227</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45227</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45227</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45227</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45227</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45227</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45227</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45227</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45227</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45227</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45227</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45227</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45227</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45227</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45227</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45227</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45227</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45227</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45227</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45227</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45227</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45227</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45227</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45227</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45227</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45227</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45227</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45227</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45227</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45227</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45227</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45227</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45227</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45227</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45227</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45227</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45227</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45227</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45227</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45227</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45227</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45227</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45227</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45227</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45227</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45227</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45227</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45227</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45227</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45227</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45227</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45227</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45227</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45227</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45227</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45227</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45227</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45227</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45227</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45227</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45227</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45227</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45227</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45227</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45227</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45227</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45227</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45227</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45227</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45227</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45227</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45227</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45227</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45227</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45227</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45227</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45227</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45227</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45227</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45227</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45227</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45227</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45227</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45227</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45227</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45227</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45227</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45227</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45227</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45227</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45227</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45227</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45227</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45227</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45227</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45227</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45227</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45227</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45227</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45227</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45227</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45227</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45227</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45227</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45227</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45227</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45227</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45227</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45227</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45227</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45227</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45227</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45227</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45227</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45227</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45227</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45227</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45227</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45227</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45227</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45227</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45227</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45227</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45227</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45227</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45227</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45227</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45227</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45227</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45227</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45227</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45227</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45227</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45227</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45227</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45227</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45227</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45227</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45227</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45227</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45227</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45227</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45227</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45227</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45227</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45227</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45227</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45227</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45227</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45227</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45227</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45227</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45227</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45227</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45227</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45227</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45227</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45227</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45227</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45227</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45227</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45227</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45227</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45227</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45227</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45227</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45227</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45227</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45227</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45227</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45227</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45227</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45227</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45227</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45227</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45227</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45227</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45227</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45227</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45227</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45227</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45227</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45227</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45227</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45227</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45227</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45227</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45227</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45227</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45227</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45227</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45227</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45227</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45227</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45227</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45227</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45227</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45227</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45227</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45227</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45227</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45227</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45227</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45227</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45227</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45227</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45227</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45227</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45227</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45227</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45227</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45227</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45227</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45227</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45227</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45227</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45227</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45227</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45227</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45227</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45227</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45227</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45227</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45227</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45227</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45227</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45227</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45227</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45227</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45227</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45227</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45227</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45227</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45227</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45227</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45227</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45227</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45227</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45227</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45227</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45227</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45227</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45227</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45227</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45227</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45227</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45227</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45227</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45227</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45227</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45227</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45227</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45227</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45227</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45227</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45227</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45227</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45227</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45227</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45227</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45227</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45227</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45227</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45227</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45227</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45227</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45227</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45227</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45227</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45227</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45227</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45227</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45227</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45227</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45227</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45227</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45227</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45227</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45227</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45227</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45227</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45227</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45227</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45227</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45227</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45227</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45227</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45227</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45227</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45227</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45227</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45227</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45227</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45227</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45227</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45227</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45227</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45227</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45227</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45227</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45227</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45227</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45227</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45227</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45227</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45227</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45227</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45227</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45227</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45227</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45227</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45227</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45227</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45227</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45227</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45227</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45227</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45227</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45227</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45227</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45227</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45227</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45227</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45227</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45227</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45227</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45227</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45227</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45227</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45227</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45227</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45227</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45227</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45227</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45227</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45227</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45227</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45227</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45227</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45227</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45227</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45227</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45227</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45227</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45227</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45227</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45227</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45227</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45227</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45227</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45227</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45227</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45227</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45227</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45227</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45227</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45227</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45227</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45227</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45227</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45227</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45227</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45227</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45227</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45227</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45227</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45227</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45227</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45227</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45227</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45227</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45227</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45227</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45227</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45227</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45227</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45227</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45227</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45227</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45227</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45227</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45227</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45227</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45227</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45227</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45227</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45227</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45227</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45227</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45227</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45227</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45227</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45227</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45227</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45227</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45227</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45227</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45227</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45227</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45227</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45227</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45227</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45227</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45227</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45227</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45227</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45227</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45227</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45227</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45227</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45227</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45227</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45227</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45227</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45227</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45227</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45227</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45227</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45227</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45227</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45227</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45227</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45227</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45227</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45227</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45227</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45227</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45227</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45227</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45227</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45227</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45227</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45227</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45227</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45227</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45227</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45227</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45227</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45227</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45227</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45227</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45227</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45227</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45227</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45227</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45227</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45227</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45227</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45227</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45227</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45227</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45227</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45227</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45227</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45227</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45227</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45227</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45227</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45227</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45227</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45227</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45227</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45227</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45227</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45227</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45227</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45227</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45227</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45227</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45227</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45227</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45227</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45227</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45227</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45227</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45227</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45227</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45227</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45227</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45227</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45227</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45227</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45227</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45227</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45227</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45227</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45227</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45227</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45227</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45227</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45227</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45227</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45227</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45227</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45227</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45227</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45227</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45227</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45227</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45227</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45227</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45227</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45227</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45227</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45227</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45227</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45227</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45227</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45227</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45227</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45227</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45227</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45227</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45227</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45227</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45227</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45227</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45227</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45227</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45227</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45227</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45227</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45227</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45227</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45227</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45227</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45227</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45227</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45227</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45227</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45227</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45227</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45227</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45227</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45227</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45227</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45227</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45227</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45227</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45227</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45227</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45227</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45227</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45227</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45227</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45227</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45227</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45227</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45227</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45227</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45227</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45227</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45227</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45227</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45227</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45227</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45227</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45227</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45227</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45227</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45227</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45227</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45227</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45227</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45227</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45227</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45227</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45227</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45227</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45227</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45227</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45227</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45227</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45227</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45227</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45227</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45227</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45227</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45227</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45227</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45227</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45227</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45227</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45227</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45227</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45227</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45227</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45227</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45227</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45227</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45227</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45227</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45227</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45227</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45227</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45227</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45227</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45227</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45227</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45227</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45227</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45227</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45227</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45227</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45227</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45227</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45227</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45227</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45227</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45227</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45227</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45227</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45227</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45227</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45227</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45227</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45227</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45227</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45227</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45227</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45227</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45227</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45227</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45227</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45227</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45227</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45227</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45227</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45227</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45227</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45227</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45227</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45227</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45227</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45227</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45227</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45227</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45227</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45227</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45227</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45227</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45227</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45227</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45227</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45227</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45227</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45227</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45227</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45227</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45227</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45227</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45227</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45227</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45227</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45227</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45227</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45227</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45227</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45227</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45227</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45227</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45227</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45227</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45227</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45227</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45227</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45227</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45227</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45227</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45227</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45227</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45227</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45227</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45227</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45227</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45227</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45227</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45227</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45227</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45227</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45227</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45227</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45227</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45227</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45227</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45227</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45227</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45227</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45227</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45227</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45227</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45227</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45227</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45227</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45227</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45227</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45227</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45227</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45227</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45227</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45227</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45227</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45227</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45227</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45227</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45227</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45227</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45227</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45227</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45227</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45227</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45227</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45227</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45227</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45227</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45227</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45227</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45227</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45227</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45227</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45227</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45227</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45227</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45227</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45227</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45227</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45227</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45227</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45227</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45227</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45227</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45227</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45227</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45227</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45227</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45227</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45227</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45227</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45227</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45227</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45227</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45227</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45227</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45227</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45227</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45227</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45227</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45227</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45227</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45227</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45227</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45227</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45227</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45227</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45227</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45227</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45227</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45227</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45227</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45227</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45227</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45227</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45227</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45227</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45227</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45227</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45227</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45227</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45227</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45227</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45227</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45227</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45227</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45227</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45227</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45227</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45227</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45227</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45227</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45227</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45227</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45227</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45227</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45227</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45227</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45227</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45227</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45227</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45227</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45227</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45227</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45227</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45227</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45227</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45227</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45227</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45227</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45227</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45227</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45227</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45227</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45227</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45227</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45227</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45227</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45227</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45227</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45227</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45227</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45227</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45227</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45227</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45227</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45227</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45227</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45227</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45227</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45227</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45227</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45227</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45227</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45227</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45227</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45227</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45227</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45227</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45227</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45227</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45227</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45227</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45227</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45227</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45227</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45227</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45227</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45227</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45227</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45227</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45227</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45227</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45227</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45227</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45227</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45227</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45227</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45227</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45227</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45227</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45227</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45227</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45227</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45227</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45227</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45227</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45227</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45227</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45227</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45227</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45227</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45227</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45227</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45227</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45227</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45227</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45227</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45227</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45227</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45227</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45227</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45227</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45227</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45227</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45227</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45227</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45227</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45227</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45227</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45227</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45227</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45227</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45227</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45227</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45227</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45227</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45227</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45227</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45227</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45227</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45227</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45227</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45227</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45227</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45227</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45227</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45227</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45227</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45227</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45227</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45227</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45227</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45227</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45227</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45227</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45227</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45227</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45227</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45227</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45227</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45227</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45227</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45227</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45227</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45227</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45227</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45227</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45227</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45227</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45227</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45227</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45227</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45227</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45227</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45227</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45227</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45227</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45227</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45227</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45227</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45227</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45227</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45227</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45227</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45227</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45227</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45227</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45227</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45227</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45227</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45227</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45227</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45227</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45227</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45227</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45227</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45227</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45227</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45227</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45227</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45227</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45227</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45227</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45227</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45227</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45227</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45227</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45227</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45227</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45227</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45227</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45227</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45227</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45227</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45227</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45227</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45227</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45227</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45227</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45227</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45227</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45227</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45227</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45227</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45227</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45227</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45227</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45227</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45227</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45227</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45227</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45227</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45227</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45227</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45227</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45227</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45227</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45227</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45227</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45227</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45227</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45227</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45227</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45227</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45227</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45227</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45227</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45227</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45227</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45227</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45227</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45227</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45227</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45227</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45227</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45227</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45227</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45227</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45227</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45227</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45227</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45227</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45227</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45227</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45227</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45227</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45227</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45227</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45227</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45227</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45227</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45227</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45227</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45227</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45227</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45227</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45227</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45227</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45227</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45227</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45227</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45227</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45227</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45227</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45227</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45227</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45227</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45227</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45227</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51170-2023</t>
        </is>
      </c>
      <c r="B10954" s="1" t="n">
        <v>45219</v>
      </c>
      <c r="C10954" s="1" t="n">
        <v>45227</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51620-2023</t>
        </is>
      </c>
      <c r="B10955" s="1" t="n">
        <v>45222</v>
      </c>
      <c r="C10955" s="1" t="n">
        <v>45227</v>
      </c>
      <c r="D10955" t="inlineStr">
        <is>
          <t>VÄSTRA GÖTALANDS LÄN</t>
        </is>
      </c>
      <c r="E10955" t="inlineStr">
        <is>
          <t>HERRLJUNGA</t>
        </is>
      </c>
      <c r="G10955" t="n">
        <v>3.3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51564-2023</t>
        </is>
      </c>
      <c r="B10956" s="1" t="n">
        <v>45222</v>
      </c>
      <c r="C10956" s="1" t="n">
        <v>45227</v>
      </c>
      <c r="D10956" t="inlineStr">
        <is>
          <t>VÄSTRA GÖTALANDS LÄN</t>
        </is>
      </c>
      <c r="E10956" t="inlineStr">
        <is>
          <t>ALE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51618-2023</t>
        </is>
      </c>
      <c r="B10957" s="1" t="n">
        <v>45222</v>
      </c>
      <c r="C10957" s="1" t="n">
        <v>45227</v>
      </c>
      <c r="D10957" t="inlineStr">
        <is>
          <t>VÄSTRA GÖTALANDS LÄN</t>
        </is>
      </c>
      <c r="E10957" t="inlineStr">
        <is>
          <t>HERRLJUNGA</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51687-2023</t>
        </is>
      </c>
      <c r="B10958" s="1" t="n">
        <v>45222</v>
      </c>
      <c r="C10958" s="1" t="n">
        <v>45227</v>
      </c>
      <c r="D10958" t="inlineStr">
        <is>
          <t>VÄSTRA GÖTALANDS LÄN</t>
        </is>
      </c>
      <c r="E10958" t="inlineStr">
        <is>
          <t>TIBRO</t>
        </is>
      </c>
      <c r="F10958" t="inlineStr">
        <is>
          <t>Sveaskog</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51685-2023</t>
        </is>
      </c>
      <c r="B10959" s="1" t="n">
        <v>45222</v>
      </c>
      <c r="C10959" s="1" t="n">
        <v>45227</v>
      </c>
      <c r="D10959" t="inlineStr">
        <is>
          <t>VÄSTRA GÖTALANDS LÄN</t>
        </is>
      </c>
      <c r="E10959" t="inlineStr">
        <is>
          <t>TIBRO</t>
        </is>
      </c>
      <c r="F10959" t="inlineStr">
        <is>
          <t>Sveaskog</t>
        </is>
      </c>
      <c r="G10959" t="n">
        <v>1.1</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51553-2023</t>
        </is>
      </c>
      <c r="B10960" s="1" t="n">
        <v>45222</v>
      </c>
      <c r="C10960" s="1" t="n">
        <v>45227</v>
      </c>
      <c r="D10960" t="inlineStr">
        <is>
          <t>VÄSTRA GÖTALANDS LÄN</t>
        </is>
      </c>
      <c r="E10960" t="inlineStr">
        <is>
          <t>MARK</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51623-2023</t>
        </is>
      </c>
      <c r="B10961" s="1" t="n">
        <v>45222</v>
      </c>
      <c r="C10961" s="1" t="n">
        <v>45227</v>
      </c>
      <c r="D10961" t="inlineStr">
        <is>
          <t>VÄSTRA GÖTALANDS LÄN</t>
        </is>
      </c>
      <c r="E10961" t="inlineStr">
        <is>
          <t>HERRLJUNGA</t>
        </is>
      </c>
      <c r="G10961" t="n">
        <v>1.5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51727-2023</t>
        </is>
      </c>
      <c r="B10962" s="1" t="n">
        <v>45222</v>
      </c>
      <c r="C10962" s="1" t="n">
        <v>45227</v>
      </c>
      <c r="D10962" t="inlineStr">
        <is>
          <t>VÄSTRA GÖTALANDS LÄN</t>
        </is>
      </c>
      <c r="E10962" t="inlineStr">
        <is>
          <t>LIDKÖPING</t>
        </is>
      </c>
      <c r="G10962" t="n">
        <v>0.5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51874-2023</t>
        </is>
      </c>
      <c r="B10963" s="1" t="n">
        <v>45223</v>
      </c>
      <c r="C10963" s="1" t="n">
        <v>45227</v>
      </c>
      <c r="D10963" t="inlineStr">
        <is>
          <t>VÄSTRA GÖTALANDS LÄN</t>
        </is>
      </c>
      <c r="E10963" t="inlineStr">
        <is>
          <t>VÅRGÅRDA</t>
        </is>
      </c>
      <c r="G10963" t="n">
        <v>3.5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51911-2023</t>
        </is>
      </c>
      <c r="B10964" s="1" t="n">
        <v>45223</v>
      </c>
      <c r="C10964" s="1" t="n">
        <v>45227</v>
      </c>
      <c r="D10964" t="inlineStr">
        <is>
          <t>VÄSTRA GÖTALANDS LÄN</t>
        </is>
      </c>
      <c r="E10964" t="inlineStr">
        <is>
          <t>ULRICEHAMN</t>
        </is>
      </c>
      <c r="G10964" t="n">
        <v>4.8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52100-2023</t>
        </is>
      </c>
      <c r="B10965" s="1" t="n">
        <v>45223</v>
      </c>
      <c r="C10965" s="1" t="n">
        <v>45227</v>
      </c>
      <c r="D10965" t="inlineStr">
        <is>
          <t>VÄSTRA GÖTALANDS LÄN</t>
        </is>
      </c>
      <c r="E10965" t="inlineStr">
        <is>
          <t>BOLLEBYGD</t>
        </is>
      </c>
      <c r="G10965" t="n">
        <v>0.7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51883-2023</t>
        </is>
      </c>
      <c r="B10966" s="1" t="n">
        <v>45223</v>
      </c>
      <c r="C10966" s="1" t="n">
        <v>45227</v>
      </c>
      <c r="D10966" t="inlineStr">
        <is>
          <t>VÄSTRA GÖTALANDS LÄN</t>
        </is>
      </c>
      <c r="E10966" t="inlineStr">
        <is>
          <t>BORÅS</t>
        </is>
      </c>
      <c r="G10966" t="n">
        <v>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51914-2023</t>
        </is>
      </c>
      <c r="B10967" s="1" t="n">
        <v>45223</v>
      </c>
      <c r="C10967" s="1" t="n">
        <v>45227</v>
      </c>
      <c r="D10967" t="inlineStr">
        <is>
          <t>VÄSTRA GÖTALANDS LÄN</t>
        </is>
      </c>
      <c r="E10967" t="inlineStr">
        <is>
          <t>ULRICEHAMN</t>
        </is>
      </c>
      <c r="G10967" t="n">
        <v>1.7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52034-2023</t>
        </is>
      </c>
      <c r="B10968" s="1" t="n">
        <v>45223</v>
      </c>
      <c r="C10968" s="1" t="n">
        <v>45227</v>
      </c>
      <c r="D10968" t="inlineStr">
        <is>
          <t>VÄSTRA GÖTALANDS LÄN</t>
        </is>
      </c>
      <c r="E10968" t="inlineStr">
        <is>
          <t>SVENLJUNGA</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52102-2023</t>
        </is>
      </c>
      <c r="B10969" s="1" t="n">
        <v>45223</v>
      </c>
      <c r="C10969" s="1" t="n">
        <v>45227</v>
      </c>
      <c r="D10969" t="inlineStr">
        <is>
          <t>VÄSTRA GÖTALANDS LÄN</t>
        </is>
      </c>
      <c r="E10969" t="inlineStr">
        <is>
          <t>BOLLEBYGD</t>
        </is>
      </c>
      <c r="G10969" t="n">
        <v>1</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52244-2023</t>
        </is>
      </c>
      <c r="B10970" s="1" t="n">
        <v>45224</v>
      </c>
      <c r="C10970" s="1" t="n">
        <v>45227</v>
      </c>
      <c r="D10970" t="inlineStr">
        <is>
          <t>VÄSTRA GÖTALANDS LÄN</t>
        </is>
      </c>
      <c r="E10970" t="inlineStr">
        <is>
          <t>SVENLJUNGA</t>
        </is>
      </c>
      <c r="G10970" t="n">
        <v>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52234-2023</t>
        </is>
      </c>
      <c r="B10971" s="1" t="n">
        <v>45224</v>
      </c>
      <c r="C10971" s="1" t="n">
        <v>45227</v>
      </c>
      <c r="D10971" t="inlineStr">
        <is>
          <t>VÄSTRA GÖTALANDS LÄN</t>
        </is>
      </c>
      <c r="E10971" t="inlineStr">
        <is>
          <t>SVENLJUNGA</t>
        </is>
      </c>
      <c r="G10971" t="n">
        <v>0.8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52272-2023</t>
        </is>
      </c>
      <c r="B10972" s="1" t="n">
        <v>45224</v>
      </c>
      <c r="C10972" s="1" t="n">
        <v>45227</v>
      </c>
      <c r="D10972" t="inlineStr">
        <is>
          <t>VÄSTRA GÖTALANDS LÄN</t>
        </is>
      </c>
      <c r="E10972" t="inlineStr">
        <is>
          <t>TRANEMO</t>
        </is>
      </c>
      <c r="F10972" t="inlineStr">
        <is>
          <t>Sveaskog</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52164-2023</t>
        </is>
      </c>
      <c r="B10973" s="1" t="n">
        <v>45224</v>
      </c>
      <c r="C10973" s="1" t="n">
        <v>45227</v>
      </c>
      <c r="D10973" t="inlineStr">
        <is>
          <t>VÄSTRA GÖTALANDS LÄN</t>
        </is>
      </c>
      <c r="E10973" t="inlineStr">
        <is>
          <t>HÄRRYDA</t>
        </is>
      </c>
      <c r="G10973" t="n">
        <v>5.4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52470-2023</t>
        </is>
      </c>
      <c r="B10974" s="1" t="n">
        <v>45225</v>
      </c>
      <c r="C10974" s="1" t="n">
        <v>45227</v>
      </c>
      <c r="D10974" t="inlineStr">
        <is>
          <t>VÄSTRA GÖTALANDS LÄN</t>
        </is>
      </c>
      <c r="E10974" t="inlineStr">
        <is>
          <t>BORÅS</t>
        </is>
      </c>
      <c r="G10974" t="n">
        <v>2.9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52667-2023</t>
        </is>
      </c>
      <c r="B10975" s="1" t="n">
        <v>45225</v>
      </c>
      <c r="C10975" s="1" t="n">
        <v>45227</v>
      </c>
      <c r="D10975" t="inlineStr">
        <is>
          <t>VÄSTRA GÖTALANDS LÄN</t>
        </is>
      </c>
      <c r="E10975" t="inlineStr">
        <is>
          <t>MARK</t>
        </is>
      </c>
      <c r="G10975" t="n">
        <v>6.8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52711-2023</t>
        </is>
      </c>
      <c r="B10976" s="1" t="n">
        <v>45225</v>
      </c>
      <c r="C10976" s="1" t="n">
        <v>45227</v>
      </c>
      <c r="D10976" t="inlineStr">
        <is>
          <t>VÄSTRA GÖTALANDS LÄN</t>
        </is>
      </c>
      <c r="E10976" t="inlineStr">
        <is>
          <t>ULRICEHAMN</t>
        </is>
      </c>
      <c r="G10976" t="n">
        <v>1.1</v>
      </c>
      <c r="H10976" t="n">
        <v>0</v>
      </c>
      <c r="I10976" t="n">
        <v>0</v>
      </c>
      <c r="J10976" t="n">
        <v>0</v>
      </c>
      <c r="K10976" t="n">
        <v>0</v>
      </c>
      <c r="L10976" t="n">
        <v>0</v>
      </c>
      <c r="M10976" t="n">
        <v>0</v>
      </c>
      <c r="N10976" t="n">
        <v>0</v>
      </c>
      <c r="O10976" t="n">
        <v>0</v>
      </c>
      <c r="P10976" t="n">
        <v>0</v>
      </c>
      <c r="Q10976" t="n">
        <v>0</v>
      </c>
      <c r="R10976" s="2" t="inlineStr"/>
    </row>
    <row r="10977" ht="15" customHeight="1">
      <c r="A10977" t="inlineStr">
        <is>
          <t>A 52533-2023</t>
        </is>
      </c>
      <c r="B10977" s="1" t="n">
        <v>45225</v>
      </c>
      <c r="C10977" s="1" t="n">
        <v>45227</v>
      </c>
      <c r="D10977" t="inlineStr">
        <is>
          <t>VÄSTRA GÖTALANDS LÄN</t>
        </is>
      </c>
      <c r="E10977" t="inlineStr">
        <is>
          <t>VARA</t>
        </is>
      </c>
      <c r="G10977" t="n">
        <v>1</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52540-2023</t>
        </is>
      </c>
      <c r="B10978" s="1" t="n">
        <v>45225</v>
      </c>
      <c r="C10978" s="1" t="n">
        <v>45227</v>
      </c>
      <c r="D10978" t="inlineStr">
        <is>
          <t>VÄSTRA GÖTALANDS LÄN</t>
        </is>
      </c>
      <c r="E10978" t="inlineStr">
        <is>
          <t>BORÅS</t>
        </is>
      </c>
      <c r="G10978" t="n">
        <v>3.1</v>
      </c>
      <c r="H10978" t="n">
        <v>0</v>
      </c>
      <c r="I10978" t="n">
        <v>0</v>
      </c>
      <c r="J10978" t="n">
        <v>0</v>
      </c>
      <c r="K10978" t="n">
        <v>0</v>
      </c>
      <c r="L10978" t="n">
        <v>0</v>
      </c>
      <c r="M10978" t="n">
        <v>0</v>
      </c>
      <c r="N10978" t="n">
        <v>0</v>
      </c>
      <c r="O10978" t="n">
        <v>0</v>
      </c>
      <c r="P10978" t="n">
        <v>0</v>
      </c>
      <c r="Q10978" t="n">
        <v>0</v>
      </c>
      <c r="R10978" s="2" t="inlineStr"/>
    </row>
    <row r="10979">
      <c r="A10979" t="inlineStr">
        <is>
          <t>A 52700-2023</t>
        </is>
      </c>
      <c r="B10979" s="1" t="n">
        <v>45225</v>
      </c>
      <c r="C10979" s="1" t="n">
        <v>45227</v>
      </c>
      <c r="D10979" t="inlineStr">
        <is>
          <t>VÄSTRA GÖTALANDS LÄN</t>
        </is>
      </c>
      <c r="E10979" t="inlineStr">
        <is>
          <t>MARK</t>
        </is>
      </c>
      <c r="G10979" t="n">
        <v>1.8</v>
      </c>
      <c r="H10979" t="n">
        <v>0</v>
      </c>
      <c r="I10979" t="n">
        <v>0</v>
      </c>
      <c r="J10979" t="n">
        <v>0</v>
      </c>
      <c r="K10979" t="n">
        <v>0</v>
      </c>
      <c r="L10979" t="n">
        <v>0</v>
      </c>
      <c r="M10979" t="n">
        <v>0</v>
      </c>
      <c r="N10979" t="n">
        <v>0</v>
      </c>
      <c r="O10979" t="n">
        <v>0</v>
      </c>
      <c r="P10979" t="n">
        <v>0</v>
      </c>
      <c r="Q10979" t="n">
        <v>0</v>
      </c>
      <c r="R109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2023-10-28T04:58:37Z</dcterms:created>
  <dcterms:modified xmlns:dcterms="http://purl.org/dc/terms/" xmlns:xsi="http://www.w3.org/2001/XMLSchema-instance" xsi:type="dcterms:W3CDTF">2023-10-28T04:58:41Z</dcterms:modified>
</cp:coreProperties>
</file>